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t\uv-felles\iped-adm\Studier\Felles studieadministrasjon\Timeplanlegging\Regnskap - Timebruk\"/>
    </mc:Choice>
  </mc:AlternateContent>
  <bookViews>
    <workbookView xWindow="-210" yWindow="50" windowWidth="28520" windowHeight="14370"/>
  </bookViews>
  <sheets>
    <sheet name="Bachelor" sheetId="1" r:id="rId1"/>
    <sheet name="PPR-master" sheetId="2" r:id="rId2"/>
    <sheet name="KULA-master" sheetId="6" r:id="rId3"/>
    <sheet name="KDL-master" sheetId="4" r:id="rId4"/>
    <sheet name="Praksiskostnader" sheetId="10" r:id="rId5"/>
    <sheet name="UDO-master" sheetId="5" r:id="rId6"/>
    <sheet name="Metode samlet" sheetId="9" r:id="rId7"/>
    <sheet name="Ark2" sheetId="13" r:id="rId8"/>
  </sheets>
  <calcPr calcId="162913"/>
</workbook>
</file>

<file path=xl/calcChain.xml><?xml version="1.0" encoding="utf-8"?>
<calcChain xmlns="http://schemas.openxmlformats.org/spreadsheetml/2006/main">
  <c r="Q49" i="4" l="1"/>
  <c r="Q48" i="4"/>
  <c r="Q47" i="4"/>
  <c r="Q57" i="2"/>
  <c r="Q58" i="2" s="1"/>
  <c r="Q56" i="2"/>
  <c r="Q17" i="2" l="1"/>
  <c r="Q19" i="6"/>
  <c r="Q19" i="4"/>
  <c r="Q16" i="5"/>
  <c r="Q9" i="1"/>
  <c r="Q21" i="1"/>
  <c r="Q22" i="1"/>
  <c r="Q20" i="1"/>
  <c r="Q19" i="1"/>
  <c r="K5" i="1"/>
  <c r="L5" i="1" s="1"/>
  <c r="I5" i="1"/>
  <c r="L21" i="1"/>
  <c r="L20" i="1"/>
  <c r="L19" i="1"/>
  <c r="L18" i="1"/>
  <c r="L17" i="1"/>
  <c r="L16" i="1"/>
  <c r="L15" i="1"/>
  <c r="L14" i="1"/>
  <c r="L13" i="1"/>
  <c r="L12" i="1"/>
  <c r="L11" i="1"/>
  <c r="L10" i="1"/>
  <c r="L9" i="1"/>
  <c r="L8" i="1"/>
  <c r="L7" i="1"/>
  <c r="L6" i="1"/>
  <c r="H5" i="1"/>
  <c r="L10" i="9"/>
  <c r="L8" i="9"/>
  <c r="L7" i="9"/>
  <c r="Q18" i="9"/>
  <c r="L5" i="9" l="1"/>
  <c r="Q18" i="2"/>
  <c r="Q20" i="4"/>
  <c r="Q20" i="6"/>
  <c r="Q17" i="5"/>
  <c r="O16" i="4"/>
  <c r="Q47" i="5" l="1"/>
  <c r="Q45" i="5"/>
  <c r="L48" i="5"/>
  <c r="K48" i="5"/>
  <c r="Q44" i="5" s="1"/>
  <c r="J48" i="5"/>
  <c r="I48" i="5"/>
  <c r="H48" i="5"/>
  <c r="G48" i="5"/>
  <c r="C48" i="5"/>
  <c r="L15" i="5"/>
  <c r="K15" i="5"/>
  <c r="I15" i="5"/>
  <c r="H15" i="5"/>
  <c r="H10" i="5"/>
  <c r="K47" i="5"/>
  <c r="I47" i="5"/>
  <c r="H47" i="5"/>
  <c r="K46" i="5"/>
  <c r="L46" i="5" s="1"/>
  <c r="I46" i="5"/>
  <c r="H46" i="5"/>
  <c r="K45" i="5"/>
  <c r="I45" i="5"/>
  <c r="H45" i="5"/>
  <c r="J49" i="4"/>
  <c r="I49" i="4"/>
  <c r="G49" i="4"/>
  <c r="C49" i="4"/>
  <c r="K48" i="4"/>
  <c r="K49" i="4" s="1"/>
  <c r="I48" i="4"/>
  <c r="H48" i="4"/>
  <c r="K47" i="4"/>
  <c r="I47" i="4"/>
  <c r="H47" i="4"/>
  <c r="G11" i="4"/>
  <c r="H11" i="4" s="1"/>
  <c r="I11" i="4"/>
  <c r="G9" i="4"/>
  <c r="K9" i="4"/>
  <c r="G6" i="4"/>
  <c r="I6" i="4" s="1"/>
  <c r="L45" i="5" l="1"/>
  <c r="L47" i="5"/>
  <c r="L9" i="4"/>
  <c r="L47" i="4"/>
  <c r="H49" i="4"/>
  <c r="L48" i="4"/>
  <c r="L49" i="4" s="1"/>
  <c r="K11" i="4"/>
  <c r="L11" i="4"/>
  <c r="H9" i="4"/>
  <c r="I9" i="4"/>
  <c r="H6" i="4"/>
  <c r="L6" i="4" s="1"/>
  <c r="K6" i="4"/>
  <c r="C50" i="6"/>
  <c r="G50" i="6"/>
  <c r="J50" i="6"/>
  <c r="G9" i="6" l="1"/>
  <c r="H9" i="6" s="1"/>
  <c r="G6" i="6"/>
  <c r="H6" i="6" s="1"/>
  <c r="G11" i="6"/>
  <c r="H11" i="6" s="1"/>
  <c r="K9" i="6" l="1"/>
  <c r="L9" i="6" s="1"/>
  <c r="I9" i="6"/>
  <c r="K6" i="6"/>
  <c r="L6" i="6" s="1"/>
  <c r="I6" i="6"/>
  <c r="K11" i="6"/>
  <c r="L11" i="6" s="1"/>
  <c r="I11" i="6"/>
  <c r="K49" i="6"/>
  <c r="K50" i="6" s="1"/>
  <c r="Q48" i="6" s="1"/>
  <c r="I49" i="6"/>
  <c r="I50" i="6" s="1"/>
  <c r="H49" i="6"/>
  <c r="H50" i="6" s="1"/>
  <c r="Q49" i="6" s="1"/>
  <c r="Q50" i="6" s="1"/>
  <c r="K48" i="6"/>
  <c r="I48" i="6"/>
  <c r="H48" i="6"/>
  <c r="L48" i="6" l="1"/>
  <c r="L49" i="6"/>
  <c r="L50" i="6" s="1"/>
  <c r="J61" i="2" l="1"/>
  <c r="G61" i="2"/>
  <c r="C61" i="2"/>
  <c r="K60" i="2"/>
  <c r="I60" i="2"/>
  <c r="H60" i="2"/>
  <c r="K59" i="2"/>
  <c r="I59" i="2"/>
  <c r="H59" i="2"/>
  <c r="K58" i="2"/>
  <c r="I58" i="2"/>
  <c r="H58" i="2"/>
  <c r="K57" i="2"/>
  <c r="I57" i="2"/>
  <c r="H57" i="2"/>
  <c r="K56" i="2"/>
  <c r="I56" i="2"/>
  <c r="H56" i="2"/>
  <c r="I61" i="2" l="1"/>
  <c r="K61" i="2"/>
  <c r="L57" i="2"/>
  <c r="H61" i="2"/>
  <c r="L58" i="2"/>
  <c r="L59" i="2"/>
  <c r="L60" i="2"/>
  <c r="L56" i="2"/>
  <c r="G16" i="4"/>
  <c r="G15" i="4"/>
  <c r="G14" i="4"/>
  <c r="G13" i="4"/>
  <c r="G12" i="4"/>
  <c r="G10" i="4"/>
  <c r="G8" i="4"/>
  <c r="H8" i="4" s="1"/>
  <c r="G7" i="4"/>
  <c r="G5" i="4"/>
  <c r="J25" i="4"/>
  <c r="C21" i="4" s="1"/>
  <c r="K21" i="4"/>
  <c r="I21" i="4"/>
  <c r="K20" i="4"/>
  <c r="L20" i="4" s="1"/>
  <c r="I20" i="4"/>
  <c r="H20" i="4"/>
  <c r="K19" i="4"/>
  <c r="L19" i="4" s="1"/>
  <c r="I19" i="4"/>
  <c r="H19" i="4"/>
  <c r="C16" i="4"/>
  <c r="G17" i="4"/>
  <c r="I17" i="4" s="1"/>
  <c r="O25" i="4"/>
  <c r="H7" i="6"/>
  <c r="K23" i="6"/>
  <c r="I23" i="6"/>
  <c r="G5" i="6"/>
  <c r="K5" i="6" s="1"/>
  <c r="G7" i="6"/>
  <c r="G8" i="6"/>
  <c r="G10" i="6"/>
  <c r="G12" i="6"/>
  <c r="G13" i="6"/>
  <c r="G14" i="6"/>
  <c r="G16" i="6"/>
  <c r="H16" i="6" s="1"/>
  <c r="G17" i="6"/>
  <c r="K17" i="6" s="1"/>
  <c r="G19" i="6"/>
  <c r="K22" i="6"/>
  <c r="L22" i="6" s="1"/>
  <c r="I22" i="6"/>
  <c r="H22" i="6"/>
  <c r="K21" i="6"/>
  <c r="L21" i="6" s="1"/>
  <c r="I21" i="6"/>
  <c r="H21" i="6"/>
  <c r="C18" i="2"/>
  <c r="C12" i="5"/>
  <c r="C16" i="6"/>
  <c r="K18" i="6"/>
  <c r="L18" i="6" s="1"/>
  <c r="I18" i="6"/>
  <c r="H18" i="6"/>
  <c r="H17" i="6"/>
  <c r="J25" i="6"/>
  <c r="C23" i="6" s="1"/>
  <c r="O25" i="6"/>
  <c r="O21" i="5"/>
  <c r="G5" i="2"/>
  <c r="G8" i="2"/>
  <c r="G9" i="2"/>
  <c r="G10" i="2"/>
  <c r="G11" i="2"/>
  <c r="G18" i="2"/>
  <c r="G14" i="2"/>
  <c r="H14" i="2" s="1"/>
  <c r="G16" i="2"/>
  <c r="G5" i="5"/>
  <c r="H5" i="5" s="1"/>
  <c r="G6" i="5"/>
  <c r="G7" i="5"/>
  <c r="G8" i="5"/>
  <c r="G9" i="5"/>
  <c r="G10" i="5"/>
  <c r="G11" i="5"/>
  <c r="G12" i="5"/>
  <c r="I12" i="5" s="1"/>
  <c r="G13" i="5"/>
  <c r="I13" i="5" s="1"/>
  <c r="F16" i="10"/>
  <c r="E16" i="10"/>
  <c r="E17" i="10" s="1"/>
  <c r="B17" i="10" s="1"/>
  <c r="D16" i="10"/>
  <c r="C16" i="10"/>
  <c r="B16" i="10" s="1"/>
  <c r="F15" i="10"/>
  <c r="E15" i="10"/>
  <c r="D15" i="10"/>
  <c r="C15" i="10"/>
  <c r="B15" i="10"/>
  <c r="B8" i="10"/>
  <c r="B7" i="10"/>
  <c r="B6" i="10"/>
  <c r="K13" i="5" l="1"/>
  <c r="H16" i="4"/>
  <c r="K17" i="4"/>
  <c r="L17" i="6"/>
  <c r="L61" i="2"/>
  <c r="H21" i="4"/>
  <c r="L21" i="4" s="1"/>
  <c r="H17" i="4"/>
  <c r="H23" i="6"/>
  <c r="L23" i="6" s="1"/>
  <c r="O16" i="6"/>
  <c r="I17" i="6"/>
  <c r="H12" i="5"/>
  <c r="H13" i="5"/>
  <c r="I14" i="2"/>
  <c r="K14" i="2"/>
  <c r="L14" i="2" s="1"/>
  <c r="L13" i="5" l="1"/>
  <c r="L17" i="4"/>
  <c r="K19" i="5"/>
  <c r="I19" i="5"/>
  <c r="H19" i="5"/>
  <c r="K18" i="5"/>
  <c r="I18" i="5"/>
  <c r="H18" i="5"/>
  <c r="K17" i="5"/>
  <c r="I17" i="5"/>
  <c r="J21" i="5"/>
  <c r="C17" i="5" s="1"/>
  <c r="L19" i="5" l="1"/>
  <c r="L18" i="5"/>
  <c r="O13" i="5"/>
  <c r="C21" i="5"/>
  <c r="H17" i="5"/>
  <c r="L17" i="5" s="1"/>
  <c r="H21" i="2" l="1"/>
  <c r="H20" i="2"/>
  <c r="K16" i="2"/>
  <c r="I16" i="2"/>
  <c r="H16" i="2"/>
  <c r="K18" i="2"/>
  <c r="I18" i="2"/>
  <c r="H18" i="2"/>
  <c r="H12" i="2"/>
  <c r="K10" i="2"/>
  <c r="I10" i="2"/>
  <c r="H10" i="2"/>
  <c r="I8" i="2"/>
  <c r="I9" i="2"/>
  <c r="H6" i="2"/>
  <c r="H7" i="2"/>
  <c r="H9" i="2"/>
  <c r="H8" i="2"/>
  <c r="K9" i="2"/>
  <c r="H5" i="2"/>
  <c r="O22" i="2"/>
  <c r="L18" i="2" l="1"/>
  <c r="L16" i="2"/>
  <c r="L9" i="2"/>
  <c r="L10" i="2"/>
  <c r="J23" i="2"/>
  <c r="C19" i="2" s="1"/>
  <c r="O14" i="2" l="1"/>
  <c r="C23" i="2"/>
  <c r="H19" i="2"/>
  <c r="K7" i="2"/>
  <c r="L7" i="2" s="1"/>
  <c r="I7" i="2"/>
  <c r="H7" i="1"/>
  <c r="H6" i="9" l="1"/>
  <c r="H7" i="9"/>
  <c r="H8" i="9"/>
  <c r="H9" i="9"/>
  <c r="H10" i="9"/>
  <c r="H11" i="9"/>
  <c r="H12" i="9"/>
  <c r="H13" i="9"/>
  <c r="H14" i="9"/>
  <c r="H15" i="9"/>
  <c r="H16" i="9"/>
  <c r="H17" i="9"/>
  <c r="H18" i="9"/>
  <c r="H19" i="9"/>
  <c r="H20" i="9"/>
  <c r="H5" i="9"/>
  <c r="H7" i="4"/>
  <c r="H10" i="4"/>
  <c r="H12" i="4"/>
  <c r="H13" i="4"/>
  <c r="H14" i="4"/>
  <c r="H15" i="4"/>
  <c r="H18" i="4"/>
  <c r="H22" i="4"/>
  <c r="H23" i="4"/>
  <c r="H24" i="4"/>
  <c r="H5" i="4"/>
  <c r="H24" i="6"/>
  <c r="H20" i="6"/>
  <c r="H19" i="6"/>
  <c r="H15" i="6"/>
  <c r="H14" i="6"/>
  <c r="H13" i="6"/>
  <c r="H12" i="6"/>
  <c r="H10" i="6"/>
  <c r="H8" i="6"/>
  <c r="H5" i="6"/>
  <c r="L5" i="6" s="1"/>
  <c r="H6" i="5"/>
  <c r="H7" i="5"/>
  <c r="H8" i="5"/>
  <c r="H9" i="5"/>
  <c r="H11" i="5"/>
  <c r="H14" i="5"/>
  <c r="H16" i="5"/>
  <c r="H20" i="5"/>
  <c r="H11" i="2"/>
  <c r="H17" i="2"/>
  <c r="H22" i="2"/>
  <c r="H6" i="1"/>
  <c r="H21" i="1"/>
  <c r="H9" i="1"/>
  <c r="H10" i="1"/>
  <c r="H11" i="1"/>
  <c r="H12" i="1"/>
  <c r="H13" i="1"/>
  <c r="H14" i="1"/>
  <c r="H15" i="1"/>
  <c r="H16" i="1"/>
  <c r="H17" i="1"/>
  <c r="H18" i="1"/>
  <c r="H19" i="1"/>
  <c r="H20" i="1"/>
  <c r="H8" i="1"/>
  <c r="L24" i="6" l="1"/>
  <c r="I27" i="1"/>
  <c r="I21" i="9"/>
  <c r="I20" i="9"/>
  <c r="I19" i="9"/>
  <c r="I18" i="9"/>
  <c r="I17" i="9"/>
  <c r="I16" i="9"/>
  <c r="I15" i="9"/>
  <c r="I14" i="9"/>
  <c r="I13" i="9"/>
  <c r="I12" i="9"/>
  <c r="I11" i="9"/>
  <c r="I10" i="9"/>
  <c r="I9" i="9"/>
  <c r="I8" i="9"/>
  <c r="I7" i="9"/>
  <c r="I6" i="9"/>
  <c r="I5" i="9"/>
  <c r="I24" i="4"/>
  <c r="I23" i="4"/>
  <c r="I22" i="4"/>
  <c r="I18" i="4"/>
  <c r="I16" i="4"/>
  <c r="I15" i="4"/>
  <c r="I14" i="4"/>
  <c r="I13" i="4"/>
  <c r="I12" i="4"/>
  <c r="I10" i="4"/>
  <c r="I8" i="4"/>
  <c r="I7" i="4"/>
  <c r="I5" i="4"/>
  <c r="I24" i="6"/>
  <c r="I20" i="6"/>
  <c r="I19" i="6"/>
  <c r="I16" i="6"/>
  <c r="I15" i="6"/>
  <c r="I14" i="6"/>
  <c r="I13" i="6"/>
  <c r="I12" i="6"/>
  <c r="I10" i="6"/>
  <c r="I8" i="6"/>
  <c r="I7" i="6"/>
  <c r="I5" i="6"/>
  <c r="I22" i="2"/>
  <c r="I21" i="2"/>
  <c r="I20" i="2"/>
  <c r="I19" i="2"/>
  <c r="I17" i="2"/>
  <c r="I12" i="2"/>
  <c r="I11" i="2"/>
  <c r="I6" i="2"/>
  <c r="I5" i="2"/>
  <c r="I21" i="1"/>
  <c r="I20" i="1"/>
  <c r="I19" i="1"/>
  <c r="I18" i="1"/>
  <c r="I17" i="1"/>
  <c r="I16" i="1"/>
  <c r="I15" i="1"/>
  <c r="I14" i="1"/>
  <c r="I13" i="1"/>
  <c r="I12" i="1"/>
  <c r="I11" i="1"/>
  <c r="I10" i="1"/>
  <c r="I9" i="1"/>
  <c r="I8" i="1"/>
  <c r="I7" i="1"/>
  <c r="I6" i="1"/>
  <c r="J22" i="9"/>
  <c r="O13" i="9" s="1"/>
  <c r="G22" i="9"/>
  <c r="C22" i="9"/>
  <c r="K21" i="9"/>
  <c r="H21" i="9"/>
  <c r="K20" i="9"/>
  <c r="L20" i="9" s="1"/>
  <c r="K19" i="9"/>
  <c r="L19" i="9" s="1"/>
  <c r="K18" i="9"/>
  <c r="L18" i="9" s="1"/>
  <c r="K17" i="9"/>
  <c r="L17" i="9" s="1"/>
  <c r="K16" i="9"/>
  <c r="L16" i="9" s="1"/>
  <c r="K15" i="9"/>
  <c r="L15" i="9" s="1"/>
  <c r="K14" i="9"/>
  <c r="L14" i="9" s="1"/>
  <c r="K13" i="9"/>
  <c r="K12" i="9"/>
  <c r="L12" i="9" s="1"/>
  <c r="K11" i="9"/>
  <c r="K10" i="9"/>
  <c r="K9" i="9"/>
  <c r="K8" i="9"/>
  <c r="K7" i="9"/>
  <c r="K6" i="9"/>
  <c r="K5" i="9"/>
  <c r="O6" i="9" s="1"/>
  <c r="Q6" i="9" s="1"/>
  <c r="G25" i="4"/>
  <c r="C25" i="4"/>
  <c r="K24" i="4"/>
  <c r="L24" i="4" s="1"/>
  <c r="K23" i="4"/>
  <c r="L23" i="4" s="1"/>
  <c r="K22" i="4"/>
  <c r="L22" i="4" s="1"/>
  <c r="K18" i="4"/>
  <c r="L18" i="4" s="1"/>
  <c r="K16" i="4"/>
  <c r="L16" i="4" s="1"/>
  <c r="K15" i="4"/>
  <c r="L15" i="4" s="1"/>
  <c r="K14" i="4"/>
  <c r="L14" i="4" s="1"/>
  <c r="K13" i="4"/>
  <c r="L13" i="4" s="1"/>
  <c r="K12" i="4"/>
  <c r="L12" i="4" s="1"/>
  <c r="K10" i="4"/>
  <c r="L10" i="4" s="1"/>
  <c r="K8" i="4"/>
  <c r="L8" i="4" s="1"/>
  <c r="K7" i="4"/>
  <c r="L7" i="4" s="1"/>
  <c r="K5" i="4"/>
  <c r="L5" i="4" s="1"/>
  <c r="G25" i="6"/>
  <c r="C25" i="6"/>
  <c r="K24" i="6"/>
  <c r="K20" i="6"/>
  <c r="L20" i="6" s="1"/>
  <c r="K19" i="6"/>
  <c r="L19" i="6" s="1"/>
  <c r="K16" i="6"/>
  <c r="L16" i="6" s="1"/>
  <c r="K15" i="6"/>
  <c r="L15" i="6" s="1"/>
  <c r="K14" i="6"/>
  <c r="L14" i="6" s="1"/>
  <c r="K13" i="6"/>
  <c r="L13" i="6" s="1"/>
  <c r="K12" i="6"/>
  <c r="L12" i="6" s="1"/>
  <c r="K10" i="6"/>
  <c r="L10" i="6" s="1"/>
  <c r="K8" i="6"/>
  <c r="L8" i="6" s="1"/>
  <c r="K7" i="6"/>
  <c r="L7" i="6" s="1"/>
  <c r="I6" i="5"/>
  <c r="K20" i="5"/>
  <c r="L20" i="5" s="1"/>
  <c r="I20" i="5"/>
  <c r="K16" i="5"/>
  <c r="L16" i="5" s="1"/>
  <c r="I16" i="5"/>
  <c r="K14" i="5"/>
  <c r="L14" i="5" s="1"/>
  <c r="I14" i="5"/>
  <c r="K12" i="5"/>
  <c r="K11" i="5"/>
  <c r="L11" i="5" s="1"/>
  <c r="I11" i="5"/>
  <c r="K10" i="5"/>
  <c r="L10" i="5" s="1"/>
  <c r="I10" i="5"/>
  <c r="K9" i="5"/>
  <c r="L9" i="5" s="1"/>
  <c r="I9" i="5"/>
  <c r="K8" i="5"/>
  <c r="L8" i="5" s="1"/>
  <c r="I8" i="5"/>
  <c r="K7" i="5"/>
  <c r="L7" i="5" s="1"/>
  <c r="I7" i="5"/>
  <c r="K6" i="5"/>
  <c r="L6" i="5" s="1"/>
  <c r="K5" i="5"/>
  <c r="I5" i="5"/>
  <c r="K22" i="2"/>
  <c r="L22" i="2" s="1"/>
  <c r="K21" i="2"/>
  <c r="L21" i="2" s="1"/>
  <c r="K20" i="2"/>
  <c r="L20" i="2" s="1"/>
  <c r="K19" i="2"/>
  <c r="L19" i="2" s="1"/>
  <c r="K17" i="2"/>
  <c r="L17" i="2" s="1"/>
  <c r="K12" i="2"/>
  <c r="L12" i="2" s="1"/>
  <c r="K11" i="2"/>
  <c r="L11" i="2" s="1"/>
  <c r="K8" i="2"/>
  <c r="L8" i="2" s="1"/>
  <c r="K6" i="2"/>
  <c r="L6" i="2" s="1"/>
  <c r="K5" i="2"/>
  <c r="J22" i="1"/>
  <c r="O13" i="1" s="1"/>
  <c r="G22" i="1"/>
  <c r="C22" i="1"/>
  <c r="K6" i="1"/>
  <c r="K9" i="1"/>
  <c r="K7" i="1"/>
  <c r="L5" i="5" l="1"/>
  <c r="K21" i="5"/>
  <c r="O4" i="5" s="1"/>
  <c r="L5" i="2"/>
  <c r="K23" i="2"/>
  <c r="O4" i="2" s="1"/>
  <c r="K25" i="4"/>
  <c r="O4" i="4" s="1"/>
  <c r="K25" i="6"/>
  <c r="O4" i="6" s="1"/>
  <c r="L12" i="5"/>
  <c r="O7" i="9"/>
  <c r="Q7" i="9" s="1"/>
  <c r="L21" i="9"/>
  <c r="I25" i="4"/>
  <c r="I22" i="1"/>
  <c r="K22" i="9"/>
  <c r="O4" i="9" s="1"/>
  <c r="Q4" i="9" s="1"/>
  <c r="I22" i="9"/>
  <c r="L9" i="9"/>
  <c r="H22" i="9"/>
  <c r="O11" i="9" s="1"/>
  <c r="Q16" i="9" s="1"/>
  <c r="L13" i="9"/>
  <c r="L11" i="9"/>
  <c r="L6" i="9"/>
  <c r="H25" i="4"/>
  <c r="O14" i="4" s="1"/>
  <c r="I25" i="6"/>
  <c r="H25" i="6"/>
  <c r="O14" i="6" s="1"/>
  <c r="I21" i="5"/>
  <c r="H21" i="5"/>
  <c r="O11" i="5" s="1"/>
  <c r="I23" i="2"/>
  <c r="H23" i="2"/>
  <c r="Q4" i="4" l="1"/>
  <c r="Q24" i="4" s="1"/>
  <c r="Q14" i="4"/>
  <c r="Q4" i="6"/>
  <c r="Q24" i="6" s="1"/>
  <c r="L25" i="6"/>
  <c r="Q14" i="6"/>
  <c r="Q4" i="2"/>
  <c r="Q21" i="2" s="1"/>
  <c r="L23" i="2"/>
  <c r="Q4" i="5"/>
  <c r="L21" i="5"/>
  <c r="O12" i="2"/>
  <c r="L22" i="9"/>
  <c r="Q11" i="9"/>
  <c r="Q11" i="5"/>
  <c r="L25" i="4" l="1"/>
  <c r="Q22" i="4"/>
  <c r="Q26" i="4" s="1"/>
  <c r="Q22" i="6"/>
  <c r="Q26" i="6" s="1"/>
  <c r="Q19" i="2"/>
  <c r="Q23" i="2" s="1"/>
  <c r="Q20" i="5"/>
  <c r="Q19" i="5"/>
  <c r="Q22" i="5" s="1"/>
  <c r="Q12" i="2"/>
  <c r="K21" i="1"/>
  <c r="K27" i="1" l="1"/>
  <c r="D27" i="1"/>
  <c r="H27" i="1" s="1"/>
  <c r="K20" i="1"/>
  <c r="K19" i="1"/>
  <c r="K18" i="1"/>
  <c r="K17" i="1"/>
  <c r="K16" i="1"/>
  <c r="K15" i="1"/>
  <c r="K14" i="1"/>
  <c r="K13" i="1"/>
  <c r="K12" i="1"/>
  <c r="K11" i="1"/>
  <c r="K10" i="1"/>
  <c r="H22" i="1"/>
  <c r="K8" i="1"/>
  <c r="L27" i="1" l="1"/>
  <c r="L22" i="1"/>
  <c r="K22" i="1"/>
  <c r="O4" i="1" s="1"/>
  <c r="Q4" i="1" s="1"/>
  <c r="Q18" i="1" s="1"/>
  <c r="O11" i="1"/>
  <c r="Q16" i="1" s="1"/>
  <c r="Q11" i="1" l="1"/>
</calcChain>
</file>

<file path=xl/comments1.xml><?xml version="1.0" encoding="utf-8"?>
<comments xmlns="http://schemas.openxmlformats.org/spreadsheetml/2006/main">
  <authors>
    <author>emilth</author>
    <author>Yngvild Dahl</author>
  </authors>
  <commentList>
    <comment ref="L3" authorId="0" shapeId="0">
      <text>
        <r>
          <rPr>
            <b/>
            <sz val="9"/>
            <color indexed="81"/>
            <rFont val="Tahoma"/>
            <family val="2"/>
          </rPr>
          <t>emilth:</t>
        </r>
        <r>
          <rPr>
            <sz val="9"/>
            <color indexed="81"/>
            <rFont val="Tahoma"/>
            <family val="2"/>
          </rPr>
          <t xml:space="preserve">
Inntekter = Studiepoengproduksjon
Utgifter = Lønnstrinn 70</t>
        </r>
      </text>
    </comment>
    <comment ref="C6" authorId="1" shapeId="0">
      <text>
        <r>
          <rPr>
            <b/>
            <sz val="9"/>
            <color indexed="81"/>
            <rFont val="Tahoma"/>
            <charset val="1"/>
          </rPr>
          <t>Yngvild Dahl:</t>
        </r>
        <r>
          <rPr>
            <sz val="9"/>
            <color indexed="81"/>
            <rFont val="Tahoma"/>
            <charset val="1"/>
          </rPr>
          <t xml:space="preserve">
13 seminarer 2x7=182</t>
        </r>
      </text>
    </comment>
    <comment ref="C7" authorId="1" shapeId="0">
      <text>
        <r>
          <rPr>
            <b/>
            <sz val="9"/>
            <color indexed="81"/>
            <rFont val="Tahoma"/>
            <charset val="1"/>
          </rPr>
          <t>Yngvild Dahl:</t>
        </r>
        <r>
          <rPr>
            <sz val="9"/>
            <color indexed="81"/>
            <rFont val="Tahoma"/>
            <charset val="1"/>
          </rPr>
          <t xml:space="preserve">
6 seminar 2x13
</t>
        </r>
      </text>
    </comment>
    <comment ref="D7" authorId="1" shapeId="0">
      <text>
        <r>
          <rPr>
            <b/>
            <sz val="9"/>
            <color indexed="81"/>
            <rFont val="Tahoma"/>
            <charset val="1"/>
          </rPr>
          <t>Yngvild Dahl:</t>
        </r>
        <r>
          <rPr>
            <sz val="9"/>
            <color indexed="81"/>
            <rFont val="Tahoma"/>
            <charset val="1"/>
          </rPr>
          <t xml:space="preserve">
veiledning på skriftlig oblig
</t>
        </r>
      </text>
    </comment>
    <comment ref="C11" authorId="1" shapeId="0">
      <text>
        <r>
          <rPr>
            <b/>
            <sz val="9"/>
            <color indexed="81"/>
            <rFont val="Tahoma"/>
            <charset val="1"/>
          </rPr>
          <t>Yngvild Dahl:</t>
        </r>
        <r>
          <rPr>
            <sz val="9"/>
            <color indexed="81"/>
            <rFont val="Tahoma"/>
            <charset val="1"/>
          </rPr>
          <t xml:space="preserve">
4 seminar 2x14=112
forelesning 2x11=22</t>
        </r>
      </text>
    </comment>
    <comment ref="C12" authorId="1" shapeId="0">
      <text>
        <r>
          <rPr>
            <b/>
            <sz val="9"/>
            <color indexed="81"/>
            <rFont val="Tahoma"/>
            <charset val="1"/>
          </rPr>
          <t>Yngvild Dahl:</t>
        </r>
        <r>
          <rPr>
            <sz val="9"/>
            <color indexed="81"/>
            <rFont val="Tahoma"/>
            <charset val="1"/>
          </rPr>
          <t xml:space="preserve">
4 sem xx5=40
foreleesning 2x10=20</t>
        </r>
      </text>
    </comment>
    <comment ref="N16" authorId="0" shapeId="0">
      <text>
        <r>
          <rPr>
            <b/>
            <sz val="9"/>
            <color indexed="81"/>
            <rFont val="Tahoma"/>
            <family val="2"/>
          </rPr>
          <t>emilth:</t>
        </r>
        <r>
          <rPr>
            <sz val="9"/>
            <color indexed="81"/>
            <rFont val="Tahoma"/>
            <family val="2"/>
          </rPr>
          <t xml:space="preserve">
under 60 år</t>
        </r>
      </text>
    </comment>
    <comment ref="P18" authorId="0" shapeId="0">
      <text>
        <r>
          <rPr>
            <b/>
            <sz val="9"/>
            <color indexed="81"/>
            <rFont val="Tahoma"/>
            <family val="2"/>
          </rPr>
          <t>emilth:</t>
        </r>
        <r>
          <rPr>
            <sz val="9"/>
            <color indexed="81"/>
            <rFont val="Tahoma"/>
            <family val="2"/>
          </rPr>
          <t xml:space="preserve">
29000 per 60SP, se "Forbehold"</t>
        </r>
      </text>
    </comment>
    <comment ref="C19" authorId="1" shapeId="0">
      <text>
        <r>
          <rPr>
            <b/>
            <sz val="9"/>
            <color indexed="81"/>
            <rFont val="Tahoma"/>
            <charset val="1"/>
          </rPr>
          <t>Yngvild Dahl:</t>
        </r>
        <r>
          <rPr>
            <sz val="9"/>
            <color indexed="81"/>
            <rFont val="Tahoma"/>
            <charset val="1"/>
          </rPr>
          <t xml:space="preserve">
2 sem 2x3=12
forel/sem 2x10+4x2=28</t>
        </r>
      </text>
    </comment>
    <comment ref="C20" authorId="1" shapeId="0">
      <text>
        <r>
          <rPr>
            <b/>
            <sz val="9"/>
            <color indexed="81"/>
            <rFont val="Tahoma"/>
            <charset val="1"/>
          </rPr>
          <t>Yngvild Dahl:</t>
        </r>
        <r>
          <rPr>
            <sz val="9"/>
            <color indexed="81"/>
            <rFont val="Tahoma"/>
            <charset val="1"/>
          </rPr>
          <t xml:space="preserve">
forel. 2x10=20
2 seminar 2x10= 20</t>
        </r>
      </text>
    </comment>
    <comment ref="C21" authorId="1" shapeId="0">
      <text>
        <r>
          <rPr>
            <b/>
            <sz val="9"/>
            <color indexed="81"/>
            <rFont val="Tahoma"/>
            <charset val="1"/>
          </rPr>
          <t>Yngvild Dahl:</t>
        </r>
        <r>
          <rPr>
            <sz val="9"/>
            <color indexed="81"/>
            <rFont val="Tahoma"/>
            <charset val="1"/>
          </rPr>
          <t xml:space="preserve">
4 rekker forel. 2x8=32
4 rekker sem 2x8=32
totalt 64</t>
        </r>
      </text>
    </comment>
    <comment ref="D21" authorId="1" shapeId="0">
      <text>
        <r>
          <rPr>
            <b/>
            <sz val="9"/>
            <color indexed="81"/>
            <rFont val="Tahoma"/>
            <charset val="1"/>
          </rPr>
          <t>Yngvild Dahl:</t>
        </r>
        <r>
          <rPr>
            <sz val="9"/>
            <color indexed="81"/>
            <rFont val="Tahoma"/>
            <charset val="1"/>
          </rPr>
          <t xml:space="preserve">
veileidning på oppgave og godkjenning av tema. 1,5t</t>
        </r>
      </text>
    </comment>
    <comment ref="B27" authorId="0" shapeId="0">
      <text>
        <r>
          <rPr>
            <b/>
            <sz val="9"/>
            <color indexed="81"/>
            <rFont val="Tahoma"/>
            <family val="2"/>
          </rPr>
          <t>emilth:</t>
        </r>
        <r>
          <rPr>
            <sz val="9"/>
            <color indexed="81"/>
            <rFont val="Tahoma"/>
            <family val="2"/>
          </rPr>
          <t xml:space="preserve">
går over 2 semestre</t>
        </r>
      </text>
    </comment>
  </commentList>
</comments>
</file>

<file path=xl/comments2.xml><?xml version="1.0" encoding="utf-8"?>
<comments xmlns="http://schemas.openxmlformats.org/spreadsheetml/2006/main">
  <authors>
    <author>emilth</author>
    <author>Yngvild Dahl</author>
  </authors>
  <commentList>
    <comment ref="L3" authorId="0" shapeId="0">
      <text>
        <r>
          <rPr>
            <b/>
            <sz val="9"/>
            <color indexed="81"/>
            <rFont val="Tahoma"/>
            <family val="2"/>
          </rPr>
          <t>emilth:</t>
        </r>
        <r>
          <rPr>
            <sz val="9"/>
            <color indexed="81"/>
            <rFont val="Tahoma"/>
            <family val="2"/>
          </rPr>
          <t xml:space="preserve">
Inntekter = Studiepoengproduksjon
Utgifter = Lønnstrinn 70</t>
        </r>
      </text>
    </comment>
    <comment ref="N4" authorId="1" shapeId="0">
      <text>
        <r>
          <rPr>
            <b/>
            <sz val="9"/>
            <color indexed="81"/>
            <rFont val="Tahoma"/>
            <charset val="1"/>
          </rPr>
          <t>Yngvild Dahl:</t>
        </r>
        <r>
          <rPr>
            <sz val="9"/>
            <color indexed="81"/>
            <rFont val="Tahoma"/>
            <charset val="1"/>
          </rPr>
          <t xml:space="preserve">
studiepoeng på metodeemne PED4011 lagt til.</t>
        </r>
      </text>
    </comment>
    <comment ref="P4" authorId="1" shapeId="0">
      <text>
        <r>
          <rPr>
            <b/>
            <sz val="9"/>
            <color indexed="81"/>
            <rFont val="Tahoma"/>
            <charset val="1"/>
          </rPr>
          <t>Yngvild Dahl:</t>
        </r>
        <r>
          <rPr>
            <sz val="9"/>
            <color indexed="81"/>
            <rFont val="Tahoma"/>
            <charset val="1"/>
          </rPr>
          <t xml:space="preserve">
basert på to år</t>
        </r>
      </text>
    </comment>
    <comment ref="C5" authorId="1" shapeId="0">
      <text>
        <r>
          <rPr>
            <b/>
            <sz val="9"/>
            <color indexed="81"/>
            <rFont val="Tahoma"/>
            <charset val="1"/>
          </rPr>
          <t>Yngvild Dahl:</t>
        </r>
        <r>
          <rPr>
            <sz val="9"/>
            <color indexed="81"/>
            <rFont val="Tahoma"/>
            <charset val="1"/>
          </rPr>
          <t xml:space="preserve">
basert på pla h21
</t>
        </r>
      </text>
    </comment>
    <comment ref="C6" authorId="1" shapeId="0">
      <text>
        <r>
          <rPr>
            <b/>
            <sz val="9"/>
            <color indexed="81"/>
            <rFont val="Tahoma"/>
            <charset val="1"/>
          </rPr>
          <t>Yngvild Dahl:</t>
        </r>
        <r>
          <rPr>
            <sz val="9"/>
            <color indexed="81"/>
            <rFont val="Tahoma"/>
            <charset val="1"/>
          </rPr>
          <t xml:space="preserve">
praksisseminar 3x4t=12
veiledersem 2t
evaluering 4 t
forberedelse 1 t</t>
        </r>
      </text>
    </comment>
    <comment ref="C7" authorId="1" shapeId="0">
      <text>
        <r>
          <rPr>
            <b/>
            <sz val="9"/>
            <color indexed="81"/>
            <rFont val="Tahoma"/>
            <charset val="1"/>
          </rPr>
          <t>Yngvild Dahl:</t>
        </r>
        <r>
          <rPr>
            <sz val="9"/>
            <color indexed="81"/>
            <rFont val="Tahoma"/>
            <charset val="1"/>
          </rPr>
          <t xml:space="preserve">
tilstedeværelsefaglærer + honorar statped ikke lagt inn
</t>
        </r>
      </text>
    </comment>
    <comment ref="C9" authorId="1" shapeId="0">
      <text>
        <r>
          <rPr>
            <b/>
            <sz val="9"/>
            <color indexed="81"/>
            <rFont val="Tahoma"/>
            <charset val="1"/>
          </rPr>
          <t>Yngvild Dahl:</t>
        </r>
        <r>
          <rPr>
            <sz val="9"/>
            <color indexed="81"/>
            <rFont val="Tahoma"/>
            <charset val="1"/>
          </rPr>
          <t xml:space="preserve">
4 ganger a 5 timer tilstedeværelse faglærer + honorar statped</t>
        </r>
      </text>
    </comment>
    <comment ref="C10" authorId="1" shapeId="0">
      <text>
        <r>
          <rPr>
            <b/>
            <sz val="9"/>
            <color indexed="81"/>
            <rFont val="Tahoma"/>
            <family val="2"/>
          </rPr>
          <t>Yngvild Dahl:</t>
        </r>
        <r>
          <rPr>
            <sz val="9"/>
            <color indexed="81"/>
            <rFont val="Tahoma"/>
            <family val="2"/>
          </rPr>
          <t xml:space="preserve">
12 forelesning, 8 timer seminar</t>
        </r>
      </text>
    </comment>
    <comment ref="C12" authorId="1" shapeId="0">
      <text>
        <r>
          <rPr>
            <b/>
            <sz val="9"/>
            <color indexed="81"/>
            <rFont val="Tahoma"/>
            <family val="2"/>
          </rPr>
          <t>Yngvild Dahl:</t>
        </r>
        <r>
          <rPr>
            <sz val="9"/>
            <color indexed="81"/>
            <rFont val="Tahoma"/>
            <family val="2"/>
          </rPr>
          <t xml:space="preserve">
8 t. seminar. To grupper hvis det er behov for det. (16 t) Emnet har også en forberedelse med faglig praksiskoord.</t>
        </r>
      </text>
    </comment>
    <comment ref="N17" authorId="0" shapeId="0">
      <text>
        <r>
          <rPr>
            <b/>
            <sz val="9"/>
            <color indexed="81"/>
            <rFont val="Tahoma"/>
            <family val="2"/>
          </rPr>
          <t>emilth:</t>
        </r>
        <r>
          <rPr>
            <sz val="9"/>
            <color indexed="81"/>
            <rFont val="Tahoma"/>
            <family val="2"/>
          </rPr>
          <t xml:space="preserve">
under 60 år</t>
        </r>
      </text>
    </comment>
    <comment ref="C18" authorId="1" shapeId="0">
      <text>
        <r>
          <rPr>
            <b/>
            <sz val="9"/>
            <color indexed="81"/>
            <rFont val="Tahoma"/>
            <charset val="1"/>
          </rPr>
          <t>Yngvild Dahl:</t>
        </r>
        <r>
          <rPr>
            <sz val="9"/>
            <color indexed="81"/>
            <rFont val="Tahoma"/>
            <charset val="1"/>
          </rPr>
          <t xml:space="preserve">
Veledning 40t per student.r </t>
        </r>
      </text>
    </comment>
    <comment ref="C19" authorId="1" shapeId="0">
      <text>
        <r>
          <rPr>
            <b/>
            <sz val="9"/>
            <color indexed="81"/>
            <rFont val="Tahoma"/>
            <charset val="1"/>
          </rPr>
          <t>Yngvild Dahl:</t>
        </r>
        <r>
          <rPr>
            <sz val="9"/>
            <color indexed="81"/>
            <rFont val="Tahoma"/>
            <charset val="1"/>
          </rPr>
          <t xml:space="preserve">
masteroppg. Emnet trukekt fra, samt felles mtode emne.</t>
        </r>
      </text>
    </comment>
    <comment ref="P19" authorId="0" shapeId="0">
      <text>
        <r>
          <rPr>
            <b/>
            <sz val="9"/>
            <color indexed="81"/>
            <rFont val="Tahoma"/>
            <family val="2"/>
          </rPr>
          <t>emilth:</t>
        </r>
        <r>
          <rPr>
            <sz val="9"/>
            <color indexed="81"/>
            <rFont val="Tahoma"/>
            <family val="2"/>
          </rPr>
          <t xml:space="preserve">
44907</t>
        </r>
      </text>
    </comment>
    <comment ref="C20" authorId="1" shapeId="0">
      <text>
        <r>
          <rPr>
            <b/>
            <sz val="9"/>
            <color indexed="81"/>
            <rFont val="Tahoma"/>
            <charset val="1"/>
          </rPr>
          <t>Yngvild Dahl:</t>
        </r>
        <r>
          <rPr>
            <sz val="9"/>
            <color indexed="81"/>
            <rFont val="Tahoma"/>
            <charset val="1"/>
          </rPr>
          <t xml:space="preserve">
50t. Per semester.</t>
        </r>
      </text>
    </comment>
    <comment ref="C21" authorId="1" shapeId="0">
      <text>
        <r>
          <rPr>
            <b/>
            <sz val="9"/>
            <color indexed="81"/>
            <rFont val="Tahoma"/>
            <charset val="1"/>
          </rPr>
          <t>Yngvild Dahl:</t>
        </r>
        <r>
          <rPr>
            <sz val="9"/>
            <color indexed="81"/>
            <rFont val="Tahoma"/>
            <charset val="1"/>
          </rPr>
          <t xml:space="preserve">
50 t. per semester</t>
        </r>
      </text>
    </comment>
    <comment ref="J23" authorId="1" shapeId="0">
      <text>
        <r>
          <rPr>
            <b/>
            <sz val="9"/>
            <color indexed="81"/>
            <rFont val="Tahoma"/>
            <charset val="1"/>
          </rPr>
          <t>Yngvild Dahl:</t>
        </r>
        <r>
          <rPr>
            <sz val="9"/>
            <color indexed="81"/>
            <rFont val="Tahoma"/>
            <charset val="1"/>
          </rPr>
          <t xml:space="preserve">
15 stp. Metodeemne lagt til</t>
        </r>
      </text>
    </comment>
    <comment ref="L55" authorId="0" shapeId="0">
      <text>
        <r>
          <rPr>
            <b/>
            <sz val="9"/>
            <color indexed="81"/>
            <rFont val="Tahoma"/>
            <family val="2"/>
          </rPr>
          <t>emilth:</t>
        </r>
        <r>
          <rPr>
            <sz val="9"/>
            <color indexed="81"/>
            <rFont val="Tahoma"/>
            <family val="2"/>
          </rPr>
          <t xml:space="preserve">
Inntekter = Studiepoengproduksjon
Utgifter = Lønnstrinn 70</t>
        </r>
      </text>
    </comment>
    <comment ref="C60" authorId="1" shapeId="0">
      <text>
        <r>
          <rPr>
            <b/>
            <sz val="9"/>
            <color indexed="81"/>
            <rFont val="Tahoma"/>
            <charset val="1"/>
          </rPr>
          <t>Yngvild Dahl:</t>
        </r>
        <r>
          <rPr>
            <sz val="9"/>
            <color indexed="81"/>
            <rFont val="Tahoma"/>
            <charset val="1"/>
          </rPr>
          <t xml:space="preserve">
1 rekker forel. 2x4=8
1rekker seminar 2x4=8</t>
        </r>
      </text>
    </comment>
    <comment ref="D60" authorId="1" shapeId="0">
      <text>
        <r>
          <rPr>
            <b/>
            <sz val="9"/>
            <color indexed="81"/>
            <rFont val="Tahoma"/>
            <charset val="1"/>
          </rPr>
          <t>Yngvild Dahl:</t>
        </r>
        <r>
          <rPr>
            <sz val="9"/>
            <color indexed="81"/>
            <rFont val="Tahoma"/>
            <charset val="1"/>
          </rPr>
          <t xml:space="preserve">
veileidning på oppgave og godkjenning av tema. 1,75t</t>
        </r>
      </text>
    </comment>
  </commentList>
</comments>
</file>

<file path=xl/comments3.xml><?xml version="1.0" encoding="utf-8"?>
<comments xmlns="http://schemas.openxmlformats.org/spreadsheetml/2006/main">
  <authors>
    <author>emilth</author>
    <author>Yngvild Dahl</author>
  </authors>
  <commentList>
    <comment ref="L3" authorId="0" shapeId="0">
      <text>
        <r>
          <rPr>
            <b/>
            <sz val="9"/>
            <color indexed="81"/>
            <rFont val="Tahoma"/>
            <family val="2"/>
          </rPr>
          <t>emilth:</t>
        </r>
        <r>
          <rPr>
            <sz val="9"/>
            <color indexed="81"/>
            <rFont val="Tahoma"/>
            <family val="2"/>
          </rPr>
          <t xml:space="preserve">
Inntekter = Studiepoengproduksjon
Utgifter = Lønnstrinn 70</t>
        </r>
      </text>
    </comment>
    <comment ref="C5" authorId="1" shapeId="0">
      <text>
        <r>
          <rPr>
            <b/>
            <sz val="9"/>
            <color indexed="81"/>
            <rFont val="Tahoma"/>
            <family val="2"/>
          </rPr>
          <t>Yngvild Dahl:</t>
        </r>
        <r>
          <rPr>
            <sz val="9"/>
            <color indexed="81"/>
            <rFont val="Tahoma"/>
            <family val="2"/>
          </rPr>
          <t xml:space="preserve">
Forelesninger og seminar</t>
        </r>
      </text>
    </comment>
    <comment ref="C6" authorId="1" shapeId="0">
      <text>
        <r>
          <rPr>
            <b/>
            <sz val="9"/>
            <color indexed="81"/>
            <rFont val="Tahoma"/>
            <family val="2"/>
          </rPr>
          <t>Yngvild Dahl:</t>
        </r>
        <r>
          <rPr>
            <sz val="9"/>
            <color indexed="81"/>
            <rFont val="Tahoma"/>
            <family val="2"/>
          </rPr>
          <t xml:space="preserve">
6 t. undervisning, 
to lærere, uttelling 3</t>
        </r>
      </text>
    </comment>
    <comment ref="C7" authorId="1" shapeId="0">
      <text>
        <r>
          <rPr>
            <b/>
            <sz val="9"/>
            <color indexed="81"/>
            <rFont val="Tahoma"/>
            <charset val="1"/>
          </rPr>
          <t>Yngvild Dahl:</t>
        </r>
        <r>
          <rPr>
            <sz val="9"/>
            <color indexed="81"/>
            <rFont val="Tahoma"/>
            <charset val="1"/>
          </rPr>
          <t xml:space="preserve">
to lærere medfører høyt timetall. 30 t undervisning -hver får  3 t. uttelling</t>
        </r>
      </text>
    </comment>
    <comment ref="D7" authorId="1" shapeId="0">
      <text>
        <r>
          <rPr>
            <b/>
            <sz val="9"/>
            <color indexed="81"/>
            <rFont val="Tahoma"/>
            <family val="2"/>
          </rPr>
          <t>Yngvild Dahl:</t>
        </r>
        <r>
          <rPr>
            <sz val="9"/>
            <color indexed="81"/>
            <rFont val="Tahoma"/>
            <family val="2"/>
          </rPr>
          <t xml:space="preserve">
Gruppeoblig- uklart om uttelling gis.</t>
        </r>
      </text>
    </comment>
    <comment ref="H7" authorId="1" shapeId="0">
      <text>
        <r>
          <rPr>
            <b/>
            <sz val="9"/>
            <color indexed="81"/>
            <rFont val="Tahoma"/>
            <charset val="1"/>
          </rPr>
          <t>Yngvild Dahl:</t>
        </r>
        <r>
          <rPr>
            <sz val="9"/>
            <color indexed="81"/>
            <rFont val="Tahoma"/>
            <charset val="1"/>
          </rPr>
          <t xml:space="preserve">
to lærere vektes med 4 på hver</t>
        </r>
      </text>
    </comment>
    <comment ref="D8" authorId="1" shapeId="0">
      <text>
        <r>
          <rPr>
            <b/>
            <sz val="9"/>
            <color indexed="81"/>
            <rFont val="Tahoma"/>
            <family val="2"/>
          </rPr>
          <t>Yngvild Dahl:</t>
        </r>
        <r>
          <rPr>
            <sz val="9"/>
            <color indexed="81"/>
            <rFont val="Tahoma"/>
            <family val="2"/>
          </rPr>
          <t xml:space="preserve">
Gruppeoblig, uklart om uttelling gis
</t>
        </r>
      </text>
    </comment>
    <comment ref="C9" authorId="1" shapeId="0">
      <text>
        <r>
          <rPr>
            <b/>
            <sz val="9"/>
            <color indexed="81"/>
            <rFont val="Tahoma"/>
            <family val="2"/>
          </rPr>
          <t>Yngvild Dahl:</t>
        </r>
        <r>
          <rPr>
            <sz val="9"/>
            <color indexed="81"/>
            <rFont val="Tahoma"/>
            <family val="2"/>
          </rPr>
          <t xml:space="preserve">
timer med to lærere. Vekstes med 3
</t>
        </r>
      </text>
    </comment>
    <comment ref="C10" authorId="1" shapeId="0">
      <text>
        <r>
          <rPr>
            <b/>
            <sz val="9"/>
            <color indexed="81"/>
            <rFont val="Tahoma"/>
            <family val="2"/>
          </rPr>
          <t>Yngvild Dahl:</t>
        </r>
        <r>
          <rPr>
            <sz val="9"/>
            <color indexed="81"/>
            <rFont val="Tahoma"/>
            <family val="2"/>
          </rPr>
          <t xml:space="preserve">
2 timer med bibloiotekar trukket fra
</t>
        </r>
      </text>
    </comment>
    <comment ref="C11" authorId="1" shapeId="0">
      <text>
        <r>
          <rPr>
            <b/>
            <sz val="9"/>
            <color indexed="81"/>
            <rFont val="Tahoma"/>
            <family val="2"/>
          </rPr>
          <t>Yngvild Dahl:</t>
        </r>
        <r>
          <rPr>
            <sz val="9"/>
            <color indexed="81"/>
            <rFont val="Tahoma"/>
            <family val="2"/>
          </rPr>
          <t xml:space="preserve">
boot-camp 6 tmer med 2 lærere
</t>
        </r>
      </text>
    </comment>
    <comment ref="F12" authorId="1" shapeId="0">
      <text>
        <r>
          <rPr>
            <b/>
            <sz val="9"/>
            <color indexed="81"/>
            <rFont val="Tahoma"/>
            <charset val="1"/>
          </rPr>
          <t>Yngvild Dahl:</t>
        </r>
        <r>
          <rPr>
            <sz val="9"/>
            <color indexed="81"/>
            <rFont val="Tahoma"/>
            <charset val="1"/>
          </rPr>
          <t xml:space="preserve">
bestått/ikke bestått sensur kan ha 1 senesor</t>
        </r>
      </text>
    </comment>
    <comment ref="N19" authorId="0" shapeId="0">
      <text>
        <r>
          <rPr>
            <b/>
            <sz val="9"/>
            <color indexed="81"/>
            <rFont val="Tahoma"/>
            <family val="2"/>
          </rPr>
          <t>emilth:</t>
        </r>
        <r>
          <rPr>
            <sz val="9"/>
            <color indexed="81"/>
            <rFont val="Tahoma"/>
            <family val="2"/>
          </rPr>
          <t xml:space="preserve">
under 60 år</t>
        </r>
      </text>
    </comment>
    <comment ref="C21" authorId="1" shapeId="0">
      <text>
        <r>
          <rPr>
            <b/>
            <sz val="9"/>
            <color indexed="81"/>
            <rFont val="Tahoma"/>
            <charset val="1"/>
          </rPr>
          <t>Yngvild Dahl:</t>
        </r>
        <r>
          <rPr>
            <sz val="9"/>
            <color indexed="81"/>
            <rFont val="Tahoma"/>
            <charset val="1"/>
          </rPr>
          <t xml:space="preserve">
50t. Per semester.</t>
        </r>
      </text>
    </comment>
    <comment ref="C22" authorId="1" shapeId="0">
      <text>
        <r>
          <rPr>
            <b/>
            <sz val="9"/>
            <color indexed="81"/>
            <rFont val="Tahoma"/>
            <charset val="1"/>
          </rPr>
          <t>Yngvild Dahl:</t>
        </r>
        <r>
          <rPr>
            <sz val="9"/>
            <color indexed="81"/>
            <rFont val="Tahoma"/>
            <charset val="1"/>
          </rPr>
          <t xml:space="preserve">
50 t. per semester</t>
        </r>
      </text>
    </comment>
    <comment ref="P22" authorId="0" shapeId="0">
      <text>
        <r>
          <rPr>
            <b/>
            <sz val="9"/>
            <color indexed="81"/>
            <rFont val="Tahoma"/>
            <family val="2"/>
          </rPr>
          <t>emilth:</t>
        </r>
        <r>
          <rPr>
            <sz val="9"/>
            <color indexed="81"/>
            <rFont val="Tahoma"/>
            <family val="2"/>
          </rPr>
          <t xml:space="preserve">
44907 per 60SP, se "Forbehold"</t>
        </r>
      </text>
    </comment>
    <comment ref="C23" authorId="1" shapeId="0">
      <text>
        <r>
          <rPr>
            <b/>
            <sz val="9"/>
            <color indexed="81"/>
            <rFont val="Tahoma"/>
            <charset val="1"/>
          </rPr>
          <t>Yngvild Dahl:</t>
        </r>
        <r>
          <rPr>
            <sz val="9"/>
            <color indexed="81"/>
            <rFont val="Tahoma"/>
            <charset val="1"/>
          </rPr>
          <t xml:space="preserve">
masteroppg. Emnet trukekt fra, samt felles mtode emne.</t>
        </r>
      </text>
    </comment>
    <comment ref="L47" authorId="0" shapeId="0">
      <text>
        <r>
          <rPr>
            <b/>
            <sz val="9"/>
            <color indexed="81"/>
            <rFont val="Tahoma"/>
            <family val="2"/>
          </rPr>
          <t>emilth:</t>
        </r>
        <r>
          <rPr>
            <sz val="9"/>
            <color indexed="81"/>
            <rFont val="Tahoma"/>
            <family val="2"/>
          </rPr>
          <t xml:space="preserve">
Inntekter = Studiepoengproduksjon
Utgifter = Lønnstrinn 70</t>
        </r>
      </text>
    </comment>
    <comment ref="C48" authorId="1" shapeId="0">
      <text>
        <r>
          <rPr>
            <b/>
            <sz val="9"/>
            <color indexed="81"/>
            <rFont val="Tahoma"/>
            <charset val="1"/>
          </rPr>
          <t>Yngvild Dahl:</t>
        </r>
        <r>
          <rPr>
            <sz val="9"/>
            <color indexed="81"/>
            <rFont val="Tahoma"/>
            <charset val="1"/>
          </rPr>
          <t xml:space="preserve">
2 sem 2x3=12
forel/sem 2x10+4x2=28</t>
        </r>
      </text>
    </comment>
    <comment ref="C49" authorId="1" shapeId="0">
      <text>
        <r>
          <rPr>
            <b/>
            <sz val="9"/>
            <color indexed="81"/>
            <rFont val="Tahoma"/>
            <charset val="1"/>
          </rPr>
          <t>Yngvild Dahl:</t>
        </r>
        <r>
          <rPr>
            <sz val="9"/>
            <color indexed="81"/>
            <rFont val="Tahoma"/>
            <charset val="1"/>
          </rPr>
          <t xml:space="preserve">
1rekke forel. 2x8=8
1 rekke sem 2x8=8
totalt 16- deler med KDL</t>
        </r>
      </text>
    </comment>
    <comment ref="D49" authorId="1" shapeId="0">
      <text>
        <r>
          <rPr>
            <b/>
            <sz val="9"/>
            <color indexed="81"/>
            <rFont val="Tahoma"/>
            <charset val="1"/>
          </rPr>
          <t>Yngvild Dahl:</t>
        </r>
        <r>
          <rPr>
            <sz val="9"/>
            <color indexed="81"/>
            <rFont val="Tahoma"/>
            <charset val="1"/>
          </rPr>
          <t xml:space="preserve">
veileidning på oppgave og godkjenning av tema. 1,5t</t>
        </r>
      </text>
    </comment>
    <comment ref="N51" authorId="0" shapeId="0">
      <text>
        <r>
          <rPr>
            <b/>
            <sz val="9"/>
            <color indexed="81"/>
            <rFont val="Tahoma"/>
            <family val="2"/>
          </rPr>
          <t>emilth:</t>
        </r>
        <r>
          <rPr>
            <sz val="9"/>
            <color indexed="81"/>
            <rFont val="Tahoma"/>
            <family val="2"/>
          </rPr>
          <t xml:space="preserve">
under 60 år</t>
        </r>
      </text>
    </comment>
  </commentList>
</comments>
</file>

<file path=xl/comments4.xml><?xml version="1.0" encoding="utf-8"?>
<comments xmlns="http://schemas.openxmlformats.org/spreadsheetml/2006/main">
  <authors>
    <author>emilth</author>
    <author>Yngvild Dahl</author>
  </authors>
  <commentList>
    <comment ref="L3" authorId="0" shapeId="0">
      <text>
        <r>
          <rPr>
            <b/>
            <sz val="9"/>
            <color indexed="81"/>
            <rFont val="Tahoma"/>
            <family val="2"/>
          </rPr>
          <t>emilth:</t>
        </r>
        <r>
          <rPr>
            <sz val="9"/>
            <color indexed="81"/>
            <rFont val="Tahoma"/>
            <family val="2"/>
          </rPr>
          <t xml:space="preserve">
Inntekter = Studiepoengproduksjon
Utgifter = Lønnstrinn 70</t>
        </r>
      </text>
    </comment>
    <comment ref="E7" authorId="1" shapeId="0">
      <text>
        <r>
          <rPr>
            <b/>
            <sz val="9"/>
            <color indexed="81"/>
            <rFont val="Tahoma"/>
            <family val="2"/>
          </rPr>
          <t>Yngvild Dahl:</t>
        </r>
        <r>
          <rPr>
            <sz val="9"/>
            <color indexed="81"/>
            <rFont val="Tahoma"/>
            <family val="2"/>
          </rPr>
          <t xml:space="preserve">
hjemmeeksamen 1,5. Muntlig eksamen 1,5</t>
        </r>
      </text>
    </comment>
    <comment ref="C8" authorId="1" shapeId="0">
      <text>
        <r>
          <rPr>
            <b/>
            <sz val="9"/>
            <color indexed="81"/>
            <rFont val="Tahoma"/>
            <family val="2"/>
          </rPr>
          <t>Yngvild Dahl:</t>
        </r>
        <r>
          <rPr>
            <sz val="9"/>
            <color indexed="81"/>
            <rFont val="Tahoma"/>
            <family val="2"/>
          </rPr>
          <t xml:space="preserve">
to lærere er satt opp sammen i timeplanen</t>
        </r>
      </text>
    </comment>
    <comment ref="E8" authorId="1" shapeId="0">
      <text>
        <r>
          <rPr>
            <b/>
            <sz val="9"/>
            <color indexed="81"/>
            <rFont val="Tahoma"/>
            <family val="2"/>
          </rPr>
          <t>Yngvild Dahl:</t>
        </r>
        <r>
          <rPr>
            <sz val="9"/>
            <color indexed="81"/>
            <rFont val="Tahoma"/>
            <family val="2"/>
          </rPr>
          <t xml:space="preserve">
hjemmeksamen 1,5t, muntlig eksamen 2t</t>
        </r>
      </text>
    </comment>
    <comment ref="C9" authorId="1" shapeId="0">
      <text>
        <r>
          <rPr>
            <b/>
            <sz val="9"/>
            <color indexed="81"/>
            <rFont val="Tahoma"/>
            <family val="2"/>
          </rPr>
          <t>Yngvild Dahl:</t>
        </r>
        <r>
          <rPr>
            <sz val="9"/>
            <color indexed="81"/>
            <rFont val="Tahoma"/>
            <family val="2"/>
          </rPr>
          <t xml:space="preserve">
to lærere er satt opp sammen i timeplanen</t>
        </r>
      </text>
    </comment>
    <comment ref="E9" authorId="1" shapeId="0">
      <text>
        <r>
          <rPr>
            <b/>
            <sz val="9"/>
            <color indexed="81"/>
            <rFont val="Tahoma"/>
            <family val="2"/>
          </rPr>
          <t>Yngvild Dahl:</t>
        </r>
        <r>
          <rPr>
            <sz val="9"/>
            <color indexed="81"/>
            <rFont val="Tahoma"/>
            <family val="2"/>
          </rPr>
          <t xml:space="preserve">
hjemmeksamen 1,5t, muntlig eksamen 2t</t>
        </r>
      </text>
    </comment>
    <comment ref="D10" authorId="1" shapeId="0">
      <text>
        <r>
          <rPr>
            <b/>
            <sz val="9"/>
            <color indexed="81"/>
            <rFont val="Tahoma"/>
            <family val="2"/>
          </rPr>
          <t>Yngvild Dahl:</t>
        </r>
        <r>
          <rPr>
            <sz val="9"/>
            <color indexed="81"/>
            <rFont val="Tahoma"/>
            <family val="2"/>
          </rPr>
          <t xml:space="preserve">
</t>
        </r>
      </text>
    </comment>
    <comment ref="C11" authorId="1" shapeId="0">
      <text>
        <r>
          <rPr>
            <b/>
            <sz val="9"/>
            <color indexed="81"/>
            <rFont val="Tahoma"/>
            <family val="2"/>
          </rPr>
          <t>Yngvild Dahl:</t>
        </r>
        <r>
          <rPr>
            <sz val="9"/>
            <color indexed="81"/>
            <rFont val="Tahoma"/>
            <family val="2"/>
          </rPr>
          <t xml:space="preserve">
3 ulike seminargrupper, uttelling 4 for alle undervisere.</t>
        </r>
      </text>
    </comment>
    <comment ref="C17" authorId="1" shapeId="0">
      <text>
        <r>
          <rPr>
            <b/>
            <sz val="9"/>
            <color indexed="81"/>
            <rFont val="Tahoma"/>
            <family val="2"/>
          </rPr>
          <t>Yngvild Dahl:</t>
        </r>
        <r>
          <rPr>
            <sz val="9"/>
            <color indexed="81"/>
            <rFont val="Tahoma"/>
            <family val="2"/>
          </rPr>
          <t xml:space="preserve">
nytt fra -22</t>
        </r>
      </text>
    </comment>
    <comment ref="C18" authorId="1" shapeId="0">
      <text>
        <r>
          <rPr>
            <b/>
            <sz val="9"/>
            <color indexed="81"/>
            <rFont val="Tahoma"/>
            <charset val="1"/>
          </rPr>
          <t>Yngvild Dahl:</t>
        </r>
        <r>
          <rPr>
            <sz val="9"/>
            <color indexed="81"/>
            <rFont val="Tahoma"/>
            <charset val="1"/>
          </rPr>
          <t xml:space="preserve">
nytt fra -22</t>
        </r>
      </text>
    </comment>
    <comment ref="C19" authorId="1" shapeId="0">
      <text>
        <r>
          <rPr>
            <b/>
            <sz val="9"/>
            <color indexed="81"/>
            <rFont val="Tahoma"/>
            <charset val="1"/>
          </rPr>
          <t>Yngvild Dahl:</t>
        </r>
        <r>
          <rPr>
            <sz val="9"/>
            <color indexed="81"/>
            <rFont val="Tahoma"/>
            <charset val="1"/>
          </rPr>
          <t xml:space="preserve">
50t. Per semester.</t>
        </r>
      </text>
    </comment>
    <comment ref="N19" authorId="0" shapeId="0">
      <text>
        <r>
          <rPr>
            <b/>
            <sz val="9"/>
            <color indexed="81"/>
            <rFont val="Tahoma"/>
            <family val="2"/>
          </rPr>
          <t>emilth:</t>
        </r>
        <r>
          <rPr>
            <sz val="9"/>
            <color indexed="81"/>
            <rFont val="Tahoma"/>
            <family val="2"/>
          </rPr>
          <t xml:space="preserve">
under 60 år</t>
        </r>
      </text>
    </comment>
    <comment ref="C20" authorId="1" shapeId="0">
      <text>
        <r>
          <rPr>
            <b/>
            <sz val="9"/>
            <color indexed="81"/>
            <rFont val="Tahoma"/>
            <charset val="1"/>
          </rPr>
          <t>Yngvild Dahl:</t>
        </r>
        <r>
          <rPr>
            <sz val="9"/>
            <color indexed="81"/>
            <rFont val="Tahoma"/>
            <charset val="1"/>
          </rPr>
          <t xml:space="preserve">
50 t. per semester- KDL har ikke dette nå.</t>
        </r>
      </text>
    </comment>
    <comment ref="C21" authorId="1" shapeId="0">
      <text>
        <r>
          <rPr>
            <b/>
            <sz val="9"/>
            <color indexed="81"/>
            <rFont val="Tahoma"/>
            <charset val="1"/>
          </rPr>
          <t>Yngvild Dahl:</t>
        </r>
        <r>
          <rPr>
            <sz val="9"/>
            <color indexed="81"/>
            <rFont val="Tahoma"/>
            <charset val="1"/>
          </rPr>
          <t xml:space="preserve">
masteroppg. Emnet trukekt fra, samt felles mtode emne.</t>
        </r>
      </text>
    </comment>
    <comment ref="P22" authorId="0" shapeId="0">
      <text>
        <r>
          <rPr>
            <b/>
            <sz val="9"/>
            <color indexed="81"/>
            <rFont val="Tahoma"/>
            <family val="2"/>
          </rPr>
          <t>emilth:</t>
        </r>
        <r>
          <rPr>
            <sz val="9"/>
            <color indexed="81"/>
            <rFont val="Tahoma"/>
            <family val="2"/>
          </rPr>
          <t xml:space="preserve">
44907 per 60SP, se "Forbehold"</t>
        </r>
      </text>
    </comment>
    <comment ref="L46" authorId="0" shapeId="0">
      <text>
        <r>
          <rPr>
            <b/>
            <sz val="9"/>
            <color indexed="81"/>
            <rFont val="Tahoma"/>
            <family val="2"/>
          </rPr>
          <t>emilth:</t>
        </r>
        <r>
          <rPr>
            <sz val="9"/>
            <color indexed="81"/>
            <rFont val="Tahoma"/>
            <family val="2"/>
          </rPr>
          <t xml:space="preserve">
Inntekter = Studiepoengproduksjon
Utgifter = Lønnstrinn 70</t>
        </r>
      </text>
    </comment>
    <comment ref="C47" authorId="1" shapeId="0">
      <text>
        <r>
          <rPr>
            <b/>
            <sz val="9"/>
            <color indexed="81"/>
            <rFont val="Tahoma"/>
            <charset val="1"/>
          </rPr>
          <t>Yngvild Dahl:</t>
        </r>
        <r>
          <rPr>
            <sz val="9"/>
            <color indexed="81"/>
            <rFont val="Tahoma"/>
            <charset val="1"/>
          </rPr>
          <t xml:space="preserve">
forel. 2x10=20
2 seminar 2x10= 20</t>
        </r>
      </text>
    </comment>
    <comment ref="C48" authorId="1" shapeId="0">
      <text>
        <r>
          <rPr>
            <b/>
            <sz val="9"/>
            <color indexed="81"/>
            <rFont val="Tahoma"/>
            <charset val="1"/>
          </rPr>
          <t>Yngvild Dahl:</t>
        </r>
        <r>
          <rPr>
            <sz val="9"/>
            <color indexed="81"/>
            <rFont val="Tahoma"/>
            <charset val="1"/>
          </rPr>
          <t xml:space="preserve">
1rekke forel. 2x8=8
1 rekke sem 2x8=8
totalt 16- deler med KULA</t>
        </r>
      </text>
    </comment>
    <comment ref="D48" authorId="1" shapeId="0">
      <text>
        <r>
          <rPr>
            <b/>
            <sz val="9"/>
            <color indexed="81"/>
            <rFont val="Tahoma"/>
            <charset val="1"/>
          </rPr>
          <t>Yngvild Dahl:</t>
        </r>
        <r>
          <rPr>
            <sz val="9"/>
            <color indexed="81"/>
            <rFont val="Tahoma"/>
            <charset val="1"/>
          </rPr>
          <t xml:space="preserve">
veileidning på oppgave og godkjenning av tema. 1,5t</t>
        </r>
      </text>
    </comment>
  </commentList>
</comments>
</file>

<file path=xl/comments5.xml><?xml version="1.0" encoding="utf-8"?>
<comments xmlns="http://schemas.openxmlformats.org/spreadsheetml/2006/main">
  <authors>
    <author>emilth</author>
    <author>Yngvild Dahl</author>
  </authors>
  <commentList>
    <comment ref="L3" authorId="0" shapeId="0">
      <text>
        <r>
          <rPr>
            <b/>
            <sz val="9"/>
            <color indexed="81"/>
            <rFont val="Tahoma"/>
            <family val="2"/>
          </rPr>
          <t>emilth:</t>
        </r>
        <r>
          <rPr>
            <sz val="9"/>
            <color indexed="81"/>
            <rFont val="Tahoma"/>
            <family val="2"/>
          </rPr>
          <t xml:space="preserve">
Inntekter = Studiepoengproduksjon
Utgifter = Lønnstrinn 70</t>
        </r>
      </text>
    </comment>
    <comment ref="C5" authorId="1" shapeId="0">
      <text>
        <r>
          <rPr>
            <b/>
            <sz val="9"/>
            <color indexed="81"/>
            <rFont val="Tahoma"/>
            <charset val="1"/>
          </rPr>
          <t>Yngvild Dahl:</t>
        </r>
        <r>
          <rPr>
            <sz val="9"/>
            <color indexed="81"/>
            <rFont val="Tahoma"/>
            <charset val="1"/>
          </rPr>
          <t xml:space="preserve">
ramme var 24 t for 10 stp emne.
</t>
        </r>
      </text>
    </comment>
    <comment ref="C8" authorId="1" shapeId="0">
      <text>
        <r>
          <rPr>
            <b/>
            <sz val="9"/>
            <color indexed="81"/>
            <rFont val="Tahoma"/>
            <family val="2"/>
          </rPr>
          <t>Yngvild Dahl:</t>
        </r>
        <r>
          <rPr>
            <sz val="9"/>
            <color indexed="81"/>
            <rFont val="Tahoma"/>
            <family val="2"/>
          </rPr>
          <t xml:space="preserve">
14 t. forelesning + 6 t. med 4 personer tilstede.</t>
        </r>
      </text>
    </comment>
    <comment ref="C10" authorId="1" shapeId="0">
      <text>
        <r>
          <rPr>
            <b/>
            <sz val="9"/>
            <color indexed="81"/>
            <rFont val="Tahoma"/>
            <family val="2"/>
          </rPr>
          <t>Yngvild Dahl:</t>
        </r>
        <r>
          <rPr>
            <sz val="9"/>
            <color indexed="81"/>
            <rFont val="Tahoma"/>
            <family val="2"/>
          </rPr>
          <t xml:space="preserve">
24 t. undervisning med tolærer</t>
        </r>
      </text>
    </comment>
    <comment ref="C12" authorId="1" shapeId="0">
      <text>
        <r>
          <rPr>
            <b/>
            <sz val="9"/>
            <color indexed="81"/>
            <rFont val="Tahoma"/>
            <charset val="1"/>
          </rPr>
          <t>Yngvild Dahl:</t>
        </r>
        <r>
          <rPr>
            <sz val="9"/>
            <color indexed="81"/>
            <rFont val="Tahoma"/>
            <charset val="1"/>
          </rPr>
          <t xml:space="preserve">
Veledning 40t per student.</t>
        </r>
      </text>
    </comment>
    <comment ref="N16" authorId="0" shapeId="0">
      <text>
        <r>
          <rPr>
            <b/>
            <sz val="9"/>
            <color indexed="81"/>
            <rFont val="Tahoma"/>
            <family val="2"/>
          </rPr>
          <t>emilth:</t>
        </r>
        <r>
          <rPr>
            <sz val="9"/>
            <color indexed="81"/>
            <rFont val="Tahoma"/>
            <family val="2"/>
          </rPr>
          <t xml:space="preserve">
under 60 år</t>
        </r>
      </text>
    </comment>
    <comment ref="C17" authorId="1" shapeId="0">
      <text>
        <r>
          <rPr>
            <b/>
            <sz val="9"/>
            <color indexed="81"/>
            <rFont val="Tahoma"/>
            <charset val="1"/>
          </rPr>
          <t>Yngvild Dahl:</t>
        </r>
        <r>
          <rPr>
            <sz val="9"/>
            <color indexed="81"/>
            <rFont val="Tahoma"/>
            <charset val="1"/>
          </rPr>
          <t xml:space="preserve">
masteroppg. Emnet trukekt fra, samt felles mtode emne.</t>
        </r>
      </text>
    </comment>
    <comment ref="C18" authorId="1" shapeId="0">
      <text>
        <r>
          <rPr>
            <b/>
            <sz val="9"/>
            <color indexed="81"/>
            <rFont val="Tahoma"/>
            <charset val="1"/>
          </rPr>
          <t>Yngvild Dahl:</t>
        </r>
        <r>
          <rPr>
            <sz val="9"/>
            <color indexed="81"/>
            <rFont val="Tahoma"/>
            <charset val="1"/>
          </rPr>
          <t xml:space="preserve">
50t. Per semester.</t>
        </r>
      </text>
    </comment>
    <comment ref="C19" authorId="1" shapeId="0">
      <text>
        <r>
          <rPr>
            <b/>
            <sz val="9"/>
            <color indexed="81"/>
            <rFont val="Tahoma"/>
            <charset val="1"/>
          </rPr>
          <t>Yngvild Dahl:</t>
        </r>
        <r>
          <rPr>
            <sz val="9"/>
            <color indexed="81"/>
            <rFont val="Tahoma"/>
            <charset val="1"/>
          </rPr>
          <t xml:space="preserve">
50 t. per semester</t>
        </r>
      </text>
    </comment>
    <comment ref="P19" authorId="0" shapeId="0">
      <text>
        <r>
          <rPr>
            <b/>
            <sz val="9"/>
            <color indexed="81"/>
            <rFont val="Tahoma"/>
            <family val="2"/>
          </rPr>
          <t>emilth:</t>
        </r>
        <r>
          <rPr>
            <sz val="9"/>
            <color indexed="81"/>
            <rFont val="Tahoma"/>
            <family val="2"/>
          </rPr>
          <t xml:space="preserve">
44907 per 60SP, se "Forbehold"</t>
        </r>
      </text>
    </comment>
    <comment ref="J21" authorId="1" shapeId="0">
      <text>
        <r>
          <rPr>
            <b/>
            <sz val="9"/>
            <color indexed="81"/>
            <rFont val="Tahoma"/>
            <charset val="1"/>
          </rPr>
          <t>Yngvild Dahl:</t>
        </r>
        <r>
          <rPr>
            <sz val="9"/>
            <color indexed="81"/>
            <rFont val="Tahoma"/>
            <charset val="1"/>
          </rPr>
          <t xml:space="preserve">
15 stp. Metodeemne lagt til</t>
        </r>
      </text>
    </comment>
    <comment ref="K21" authorId="1" shapeId="0">
      <text>
        <r>
          <rPr>
            <b/>
            <sz val="9"/>
            <color indexed="81"/>
            <rFont val="Tahoma"/>
            <charset val="1"/>
          </rPr>
          <t>Yngvild Dahl:</t>
        </r>
        <r>
          <rPr>
            <sz val="9"/>
            <color indexed="81"/>
            <rFont val="Tahoma"/>
            <charset val="1"/>
          </rPr>
          <t xml:space="preserve">
stp fra PED4011 er regnet med her</t>
        </r>
      </text>
    </comment>
    <comment ref="L43" authorId="0" shapeId="0">
      <text>
        <r>
          <rPr>
            <b/>
            <sz val="9"/>
            <color indexed="81"/>
            <rFont val="Tahoma"/>
            <family val="2"/>
          </rPr>
          <t>emilth:</t>
        </r>
        <r>
          <rPr>
            <sz val="9"/>
            <color indexed="81"/>
            <rFont val="Tahoma"/>
            <family val="2"/>
          </rPr>
          <t xml:space="preserve">
Inntekter = Studiepoengproduksjon
Utgifter = Lønnstrinn 70</t>
        </r>
      </text>
    </comment>
    <comment ref="C47" authorId="1" shapeId="0">
      <text>
        <r>
          <rPr>
            <b/>
            <sz val="9"/>
            <color indexed="81"/>
            <rFont val="Tahoma"/>
            <charset val="1"/>
          </rPr>
          <t>Yngvild Dahl:</t>
        </r>
        <r>
          <rPr>
            <sz val="9"/>
            <color indexed="81"/>
            <rFont val="Tahoma"/>
            <charset val="1"/>
          </rPr>
          <t xml:space="preserve">
 forel. 2x8=8
sem 2x8=8
totalt 16</t>
        </r>
      </text>
    </comment>
    <comment ref="D47" authorId="1" shapeId="0">
      <text>
        <r>
          <rPr>
            <b/>
            <sz val="9"/>
            <color indexed="81"/>
            <rFont val="Tahoma"/>
            <charset val="1"/>
          </rPr>
          <t>Yngvild Dahl:</t>
        </r>
        <r>
          <rPr>
            <sz val="9"/>
            <color indexed="81"/>
            <rFont val="Tahoma"/>
            <charset val="1"/>
          </rPr>
          <t xml:space="preserve">
veileidning på oppgave og godkjenning av tema. 1,5t</t>
        </r>
      </text>
    </comment>
    <comment ref="N47" authorId="0" shapeId="0">
      <text>
        <r>
          <rPr>
            <b/>
            <sz val="9"/>
            <color indexed="81"/>
            <rFont val="Tahoma"/>
            <family val="2"/>
          </rPr>
          <t>emilth:</t>
        </r>
        <r>
          <rPr>
            <sz val="9"/>
            <color indexed="81"/>
            <rFont val="Tahoma"/>
            <family val="2"/>
          </rPr>
          <t xml:space="preserve">
under 60 år</t>
        </r>
      </text>
    </comment>
  </commentList>
</comments>
</file>

<file path=xl/comments6.xml><?xml version="1.0" encoding="utf-8"?>
<comments xmlns="http://schemas.openxmlformats.org/spreadsheetml/2006/main">
  <authors>
    <author>emilth</author>
  </authors>
  <commentList>
    <comment ref="L3" authorId="0" shapeId="0">
      <text>
        <r>
          <rPr>
            <b/>
            <sz val="9"/>
            <color indexed="81"/>
            <rFont val="Tahoma"/>
            <family val="2"/>
          </rPr>
          <t>emilth:</t>
        </r>
        <r>
          <rPr>
            <sz val="9"/>
            <color indexed="81"/>
            <rFont val="Tahoma"/>
            <family val="2"/>
          </rPr>
          <t xml:space="preserve">
Inntekter = Studiepoengproduksjon
Utgifter = Lønnstrinn 70</t>
        </r>
      </text>
    </comment>
    <comment ref="N16" authorId="0" shapeId="0">
      <text>
        <r>
          <rPr>
            <b/>
            <sz val="9"/>
            <color indexed="81"/>
            <rFont val="Tahoma"/>
            <family val="2"/>
          </rPr>
          <t>emilth:</t>
        </r>
        <r>
          <rPr>
            <sz val="9"/>
            <color indexed="81"/>
            <rFont val="Tahoma"/>
            <family val="2"/>
          </rPr>
          <t xml:space="preserve">
under 60 år</t>
        </r>
      </text>
    </comment>
    <comment ref="P18" authorId="0" shapeId="0">
      <text>
        <r>
          <rPr>
            <b/>
            <sz val="9"/>
            <color indexed="81"/>
            <rFont val="Tahoma"/>
            <family val="2"/>
          </rPr>
          <t>emilth:</t>
        </r>
        <r>
          <rPr>
            <sz val="9"/>
            <color indexed="81"/>
            <rFont val="Tahoma"/>
            <family val="2"/>
          </rPr>
          <t xml:space="preserve">
29000 per 60SP på BA og 44906 på MA, se "Forbehold"</t>
        </r>
      </text>
    </comment>
  </commentList>
</comments>
</file>

<file path=xl/sharedStrings.xml><?xml version="1.0" encoding="utf-8"?>
<sst xmlns="http://schemas.openxmlformats.org/spreadsheetml/2006/main" count="492" uniqueCount="197">
  <si>
    <t>Emne</t>
  </si>
  <si>
    <t>Semester</t>
  </si>
  <si>
    <t>Und.timer</t>
  </si>
  <si>
    <t>Sensorer</t>
  </si>
  <si>
    <t>Ant. stud.</t>
  </si>
  <si>
    <t>Totalt timetall</t>
  </si>
  <si>
    <t>SP</t>
  </si>
  <si>
    <t>Totalt SP</t>
  </si>
  <si>
    <t>Resultat</t>
  </si>
  <si>
    <t>NØKKELTALL</t>
  </si>
  <si>
    <t>Tilsvarende fulltidsstudenter</t>
  </si>
  <si>
    <t>Vår</t>
  </si>
  <si>
    <t>Høst</t>
  </si>
  <si>
    <t>Timebruk per stp</t>
  </si>
  <si>
    <t>SP inntekt/tildeling BA</t>
  </si>
  <si>
    <t>Totalt antall</t>
  </si>
  <si>
    <t>Videreutdanning</t>
  </si>
  <si>
    <t>PED1360 - Flerkulturell pedagogikk - Videreutdanning (30 studiepoeng)</t>
  </si>
  <si>
    <t>Vår og Høst</t>
  </si>
  <si>
    <t>FORBEHOLD</t>
  </si>
  <si>
    <t>Totalt timetallkolonnen vekter alle undervisningstimer som 4, uavhengig om det er stipendiater eller faste som underviser.</t>
  </si>
  <si>
    <t>De kan derfor avvike noe fra reelt timetall da noen emner setter opp ekstraforelesninger hvis behov, og lignende.</t>
  </si>
  <si>
    <t>.</t>
  </si>
  <si>
    <t>PED1001</t>
  </si>
  <si>
    <t>PED1002</t>
  </si>
  <si>
    <t>PED1010</t>
  </si>
  <si>
    <t>PED1020</t>
  </si>
  <si>
    <t>PED2101</t>
  </si>
  <si>
    <t>PED2102</t>
  </si>
  <si>
    <t>PED2103</t>
  </si>
  <si>
    <t>PED2104</t>
  </si>
  <si>
    <t>PED2201</t>
  </si>
  <si>
    <t>PED2801</t>
  </si>
  <si>
    <t>høst</t>
  </si>
  <si>
    <t>vår</t>
  </si>
  <si>
    <t xml:space="preserve">Emner og ressursbruk i studieornigen </t>
  </si>
  <si>
    <t>PED1002 seminardel</t>
  </si>
  <si>
    <t>PED1001- seminardel</t>
  </si>
  <si>
    <t>PED2802</t>
  </si>
  <si>
    <t>PED3090</t>
  </si>
  <si>
    <t xml:space="preserve">Undervisningstimetallet er hentet fra timeplanene på semestersidene til de ulike emnene og stipulert for emner som ikke har startet opp enda </t>
  </si>
  <si>
    <t>PED2202</t>
  </si>
  <si>
    <t>UV-exfac10  seminardel</t>
  </si>
  <si>
    <t>Universtietslektor på 1. studieår i full stilling holder ulike former for studiestøttende undervisning som ikke er tatt med i oversikten.</t>
  </si>
  <si>
    <t>Oblig</t>
  </si>
  <si>
    <t>Eksamen</t>
  </si>
  <si>
    <t>andel sensur</t>
  </si>
  <si>
    <t xml:space="preserve">timer und. Og sensur </t>
  </si>
  <si>
    <t xml:space="preserve"> Antall fast vit. Stilling m 47% und.plikt nøddig for å dekke totalt antall utdanningstimer</t>
  </si>
  <si>
    <t>Ressursbehov på bachelor i pedagogikk:</t>
  </si>
  <si>
    <t>Pedagogisk- psykologisk rådgivning</t>
  </si>
  <si>
    <t>PED4101</t>
  </si>
  <si>
    <t>PED4101- praksis</t>
  </si>
  <si>
    <t>PED4102</t>
  </si>
  <si>
    <t>PED4103</t>
  </si>
  <si>
    <t>PED4104</t>
  </si>
  <si>
    <t>PED4301</t>
  </si>
  <si>
    <t>PED4302</t>
  </si>
  <si>
    <t>PED4303</t>
  </si>
  <si>
    <t>PED4305</t>
  </si>
  <si>
    <t>PED4306</t>
  </si>
  <si>
    <t>PED4307</t>
  </si>
  <si>
    <t>PED4105 Anvendt metode</t>
  </si>
  <si>
    <t>PED4104 praksiseminar</t>
  </si>
  <si>
    <t>Utdanning, danning ogoppvekst</t>
  </si>
  <si>
    <t>Ressursbehov på studiretningen utdanning, danning og oppvekst:</t>
  </si>
  <si>
    <t>Ressursbehov på studieretningen i pedagogisk-psykologisk rådgivning:</t>
  </si>
  <si>
    <t>ped4401</t>
  </si>
  <si>
    <t>PED4402</t>
  </si>
  <si>
    <t>PED4403</t>
  </si>
  <si>
    <t>PED4404</t>
  </si>
  <si>
    <t>PED4405</t>
  </si>
  <si>
    <t>PED4481 praksiseminar 1</t>
  </si>
  <si>
    <t>PED4482 praksisseminar 2</t>
  </si>
  <si>
    <t>Kommunikasjon, design og læring</t>
  </si>
  <si>
    <t>Kunnskapsutvikling og læring i arbeidslivet</t>
  </si>
  <si>
    <t>PED4502</t>
  </si>
  <si>
    <t>PED4505</t>
  </si>
  <si>
    <t>PED4540</t>
  </si>
  <si>
    <t>PED4581 praksiseminar 1</t>
  </si>
  <si>
    <t>PED4582 praksisseminar 2</t>
  </si>
  <si>
    <t>PED4501</t>
  </si>
  <si>
    <t>SP inntekt</t>
  </si>
  <si>
    <t>PED4011</t>
  </si>
  <si>
    <t>PED4591 masteroppgaven</t>
  </si>
  <si>
    <t>PED4491 masteroppgaven</t>
  </si>
  <si>
    <t>Introduksjon til masteroppgaven (inngår i de enkelte emnene</t>
  </si>
  <si>
    <t>vår/høst</t>
  </si>
  <si>
    <t>I tillegg kommer 1 universitetslektorstilling</t>
  </si>
  <si>
    <t>emneansvar</t>
  </si>
  <si>
    <t>Nivåkoordinator og annet er ikke inkludert, kun undervisning og sensur og emneansvar.</t>
  </si>
  <si>
    <t>Viser oversikt over master og bachelor emner samlet. PED 1010 og PED 1020 ligger i oversikten over bachelor. Denne oversikten er laget for å vise samlet behov for metodeundervisning for metodeundervisning bachelor og master i pedagogikk. I tillegg kommer internasjonal master.</t>
  </si>
  <si>
    <t>Metode samlet</t>
  </si>
  <si>
    <t>Totalt antall studiepoeng på metode emnene</t>
  </si>
  <si>
    <t>samlet</t>
  </si>
  <si>
    <t>Studiopoeng metode master</t>
  </si>
  <si>
    <t>Studiepoeng metode bachelor</t>
  </si>
  <si>
    <t>Ressursbehov i metodeemner:</t>
  </si>
  <si>
    <t>Seminarene på PED1001 og UVEXFAC kan ha masterstudenter, stipendiater eller andre som seminarledere. Timebruk går da vanligvis ikke fra fast ansatte.</t>
  </si>
  <si>
    <t>PED4001 ekskursjon</t>
  </si>
  <si>
    <t xml:space="preserve"> andel sensur</t>
  </si>
  <si>
    <t>Masterveiledning  45 stp  oppgave 40 timer. Sensur 10 t. + muntlig 1,5 per sensor</t>
  </si>
  <si>
    <t>Nivåkoordinator</t>
  </si>
  <si>
    <t>praksiskoordinator</t>
  </si>
  <si>
    <t>kandidat inntekt</t>
  </si>
  <si>
    <t>Totalt antall studiepoeng produsert på ett kull</t>
  </si>
  <si>
    <t>Tilsvarende fulltidsstudenter i to år</t>
  </si>
  <si>
    <t>timer totalt for ett kull</t>
  </si>
  <si>
    <t>SP inntekt per kull (to års studier)</t>
  </si>
  <si>
    <t>Studiepoengspris (UV sats) årekvivalent: kr.44907</t>
  </si>
  <si>
    <t>Samlet inntekt Stp og kandidat per kull</t>
  </si>
  <si>
    <t>Kandidatpris UV sats</t>
  </si>
  <si>
    <t>PED4102- ekskursjoner</t>
  </si>
  <si>
    <t xml:space="preserve">PED4091 masteroppgaven- </t>
  </si>
  <si>
    <t>Emneansvar samlet 2 t. per studiepoeng,60 stp emner( unntatt ma oppg og metode)</t>
  </si>
  <si>
    <t>Kostnadsberegning praksisveiledning - aktuelle studieretninger</t>
  </si>
  <si>
    <t>Totalt</t>
  </si>
  <si>
    <t>KULA PED4481/82</t>
  </si>
  <si>
    <t>KDL PED4581/82</t>
  </si>
  <si>
    <t>PPR               PED4104 (8 u)</t>
  </si>
  <si>
    <t>PPR         PED4101 (3 u)</t>
  </si>
  <si>
    <t xml:space="preserve">Antall studenter </t>
  </si>
  <si>
    <t>Antall praksissteder</t>
  </si>
  <si>
    <t>Antall veiledere</t>
  </si>
  <si>
    <t>Tallene i gult kan endres</t>
  </si>
  <si>
    <t>Timesats per 2021</t>
  </si>
  <si>
    <t>Antall uker</t>
  </si>
  <si>
    <t>Kostnad per praksissted</t>
  </si>
  <si>
    <t>Samlet kostnad per emne</t>
  </si>
  <si>
    <t>Samlet kostnad masterprogram</t>
  </si>
  <si>
    <t>Resultatet er beregnet ut fra timelønn lt.70</t>
  </si>
  <si>
    <t xml:space="preserve">timer und. Og sensur totalt for ett kull </t>
  </si>
  <si>
    <t xml:space="preserve">*Beregningen er basert på to studenter per praksisveileder. </t>
  </si>
  <si>
    <t>Oppsettet er et anslag per juli 21, siden ikke antall studenter og alle praksissteder er avklart</t>
  </si>
  <si>
    <t>Antall veiledningstimer (1 student) per uke</t>
  </si>
  <si>
    <t>*Antall veiledningstimer (2 studenter) per uke</t>
  </si>
  <si>
    <t xml:space="preserve">Revidert budsjetteringsforslag: </t>
  </si>
  <si>
    <t>Totalt antall studiepoeng produsert ler kull</t>
  </si>
  <si>
    <t>Prosjektseminar 1. semester</t>
  </si>
  <si>
    <t>PED4091- Projsktseminar 1.semester</t>
  </si>
  <si>
    <t>Kostnader til praksis -se egen oversikt</t>
  </si>
  <si>
    <t>Antall studenter som er lagt inn som beregningsgrunnlag</t>
  </si>
  <si>
    <t>Per sferdig student</t>
  </si>
  <si>
    <t>kandidatinntekt  for ett kull</t>
  </si>
  <si>
    <t>PED4491Prosjektseminar 1. semester</t>
  </si>
  <si>
    <t>PED4491 seminarer-seminar 2. og 3. semester</t>
  </si>
  <si>
    <t>timer totalt for ett kull (uten praksis)</t>
  </si>
  <si>
    <t>emneansvar og nivåkoordinator</t>
  </si>
  <si>
    <t>timer til emneansvar/nivåkloord</t>
  </si>
  <si>
    <t>Ressursbehov på studiretningen kommunikasjon, design og læring:</t>
  </si>
  <si>
    <t>Ressursbehov på studiretningen kunnskapsutvikling og læring i arbeidslivet:</t>
  </si>
  <si>
    <t>timer til veiledning i praksis er ikke lagt inn da det er eksterne timer</t>
  </si>
  <si>
    <t>Emner innen området på bachelornivå</t>
  </si>
  <si>
    <t>PED3090 BUF-fordypning</t>
  </si>
  <si>
    <t>Studiepoengsproduksjon per år- tilsvarer antall årekvivalenter</t>
  </si>
  <si>
    <t>ped4401 Boot Camp</t>
  </si>
  <si>
    <t>PED4404 Boot Camp</t>
  </si>
  <si>
    <t>NØKKELTALL- ressursbehov bachelor</t>
  </si>
  <si>
    <t xml:space="preserve"> Antall fast vit. Stilling m 47% und.plikt nødvendig for å dekke totalt antall utdanningstimer</t>
  </si>
  <si>
    <t>PED4506</t>
  </si>
  <si>
    <t>PED4501, tolærerundervisnig</t>
  </si>
  <si>
    <t>PED4505 tolærerundervisning</t>
  </si>
  <si>
    <t>PED4540 gruppeundervidning</t>
  </si>
  <si>
    <t>Inntekt per ferdig student</t>
  </si>
  <si>
    <t>Inntekt per sferdig student</t>
  </si>
  <si>
    <t>Inntekt samlet per ferdig student</t>
  </si>
  <si>
    <t>Emner innen området på ba-nivå</t>
  </si>
  <si>
    <t>PED3090 (KAT-fordypning, deler med KDL)</t>
  </si>
  <si>
    <t>PED3090 (KAT-fordypning, deler med KULA)</t>
  </si>
  <si>
    <t>PED4392 Masteroppgaven veiledning  og eksamen</t>
  </si>
  <si>
    <t>Emner og ressursbruk felles emner</t>
  </si>
  <si>
    <t xml:space="preserve">PED4304 </t>
  </si>
  <si>
    <t>PED4392 seminarer (2.. Semester)</t>
  </si>
  <si>
    <t>PED4392 seminarer .3. semester</t>
  </si>
  <si>
    <t>Ressursbehov for emner på bachelor innen samme områder</t>
  </si>
  <si>
    <t>bachelor innen UDO oppsummert (innføringsemner ikke tatt med)</t>
  </si>
  <si>
    <t>høst/vår</t>
  </si>
  <si>
    <t>PED4591 masteroppgaven. Seminar 2.. semester</t>
  </si>
  <si>
    <t>I tilegg ekstern sensor av masteroppgaven</t>
  </si>
  <si>
    <t>I tilegg timer til ekstern sensor av masteroppgaven</t>
  </si>
  <si>
    <t xml:space="preserve"> Antall fast vit. Stilling m 47% und.plikt  for å dekke totalt antall utdanningstimer</t>
  </si>
  <si>
    <t>UVEXFAC10 forelesningsdel</t>
  </si>
  <si>
    <t>Antall studenter er stipulert ut i fra antatt oppmeldte studenter. Det kan være en del usikkerhet om dette.</t>
  </si>
  <si>
    <t xml:space="preserve">Studiepoengs-inntektstallene er justert for 2020, men man må være oppmerksom på at tildelingen skjer basert på gjennomsnitt </t>
  </si>
  <si>
    <t>Antall fast vit stilling innen PPR- emner</t>
  </si>
  <si>
    <t>Antall fast vit stilling innen UDO- emner</t>
  </si>
  <si>
    <t>Antall fast vit stilling innen KULA-emner</t>
  </si>
  <si>
    <t>Antall fast vit stilling innen KDL-emner</t>
  </si>
  <si>
    <t>(ikke medregnet PED3090)</t>
  </si>
  <si>
    <t>Kandidatpris</t>
  </si>
  <si>
    <t>DBH -20: 117 kandidater</t>
  </si>
  <si>
    <t>Totalt STP på Bachelor-emnene per år</t>
  </si>
  <si>
    <t>Antall studenter er satt til 20- hvis tallet endres vil oblig og sensuruttelling endres.
Totalt timetallkolonnen vekter alle undervisningstimer som 4, uavhengig om det er stipendiater eller faste som underviser.
Undervisningstimetallet er hentet fra stipulert ramme for undervisning 24 t pr. 10 stp eller timeplanene på semestersidene til de ulike emnene.
De kan derfor avvike noe fra reelt timetall da noen emner setter opp ekstraforelesninger hvis behov, og lignende.
Studiepoengs-inntektstallene kan variere fra år til år, men man må være oppmerksom på at tildelingen skjer basert på gjennomsnitt over 3 år.
Masterveiledning  45 stp  oppgave 40 timer. Sensur 10 t. + muntlig 1,5 per sensor</t>
  </si>
  <si>
    <t>Antall studenter er satt til 20- hvis tallet endres vil oblig og sensuruttelling endres.
Totalt timetallkolonnen vekter alle undervisningstimer som 4, uavhengig om det er stipendiater eller faste som underviser.
Undervisningstimetallet er hentet fra stipulert ramme for undervisning 24 t pr. 10 stp eller timeplanene på semestersidene til de ulike emnene.
De kan derfor avvike noe fra reelt timetall da noen emner setter opp ekstraforelesninger hvis behov, og lignende.
Studiepoengs-inntektsummen kan variere fra år til år, men man må være oppmerksom på at tildelingen skjer basert på gjennomsnitt over 3 år.
Masterveiledning  45 stp  oppgave 40 timer. Sensur 10 t. + muntlig 1,5 per sensor</t>
  </si>
  <si>
    <t xml:space="preserve">Antall studenter er satt til 20- hvis tallet endres vil oblig og sensuruttelling endres.(samt uttelling i studiepoeng)
Totalt timetallkolonnen vekter alle undervisningstimer som 4, uavhengig om det er stipendiater eller faste som underviser.
Undervisningstimetallet er basert på stipulert ramme for undervisning 24 t pr. 10 stp eller hentet fra timeplanene på semestersidene til de ulike emnene basert på 2020/2021.
De kan derfor avvike noe fra reelt timetall da noen emner setter opp ekstraforelesninger hvis behov, og lignende.
Programmet har lagt opp til undervisning fra Statped ("ekskursjoner") timer til dette er eksterne og er ikke lagt inn.
Nivåkoordinator og annet er ikke inkludert, kun undervisning og sensur og emneansvar.
Studiepoengs-inntektsprisen kan variere fra åt til år, men man må være oppmerksom på at tildelingen skjer basert på gjennomsnitt over 3 år.
 Masterveiledning  45 stp  oppgave 40 timer. Sensur 10 t. + muntlig 1,5 per sensor
timer til veiledning i praksis er ikke lagt inn da dette ikke er avklart for 2018- studieordningen
</t>
  </si>
  <si>
    <t xml:space="preserve">Antall studenter er satt til 20- hvis tallet endres vil oblig og sensuruttelling endres.(samt uttelling i studiepoeng)
Totalt timetallkolonnen vekter alle undervisningstimer som 4, uavhengig om det er stipendiater eller faste som underviser. Samundervisning er markert.
Undervisningstimetallet er basert på stipulert ramme for undervisning 24 t pr. 10 stp eller hentet fra timeplanene på semestersidene til de ulike emnene basert på 2020/2021.
De kan derfor avvike noe fra reelt timetall da noen emner setter opp ekstraforelesninger hvis behov, og lignende.
Studiepoengs-inntektsprisen kan endres fra år til år, men man må være oppmerksom på at tildelingen skjer basert på gjennomsnitt over 3 år.
</t>
  </si>
  <si>
    <t>Studiepoengsproduksjon per år- tilsvarer antall årskvivalenter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</si>
</sst>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
  </numFmts>
  <fonts count="24" x14ac:knownFonts="1">
    <font>
      <sz val="11"/>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sz val="10"/>
      <name val="Calibri"/>
      <family val="2"/>
      <scheme val="minor"/>
    </font>
    <font>
      <u/>
      <sz val="10"/>
      <color theme="10"/>
      <name val="Calibri"/>
      <family val="2"/>
      <scheme val="minor"/>
    </font>
    <font>
      <b/>
      <sz val="10"/>
      <name val="Calibri"/>
      <family val="2"/>
      <scheme val="minor"/>
    </font>
    <font>
      <b/>
      <sz val="10"/>
      <color rgb="FFFF0000"/>
      <name val="Calibri"/>
      <family val="2"/>
      <scheme val="minor"/>
    </font>
    <font>
      <b/>
      <sz val="9"/>
      <color indexed="81"/>
      <name val="Tahoma"/>
      <family val="2"/>
    </font>
    <font>
      <sz val="9"/>
      <color indexed="81"/>
      <name val="Tahoma"/>
      <family val="2"/>
    </font>
    <font>
      <b/>
      <sz val="10"/>
      <color rgb="FF000000"/>
      <name val="Calibri"/>
      <family val="2"/>
      <scheme val="minor"/>
    </font>
    <font>
      <sz val="10"/>
      <color rgb="FF000000"/>
      <name val="Calibri"/>
      <family val="2"/>
      <scheme val="minor"/>
    </font>
    <font>
      <sz val="10"/>
      <color rgb="FFFF0000"/>
      <name val="Calibri"/>
      <family val="2"/>
      <scheme val="minor"/>
    </font>
    <font>
      <sz val="11"/>
      <color theme="1"/>
      <name val="Calibri"/>
      <family val="2"/>
      <scheme val="minor"/>
    </font>
    <font>
      <sz val="9"/>
      <color indexed="81"/>
      <name val="Tahoma"/>
      <charset val="1"/>
    </font>
    <font>
      <b/>
      <sz val="9"/>
      <color indexed="81"/>
      <name val="Tahoma"/>
      <charset val="1"/>
    </font>
    <font>
      <b/>
      <sz val="11"/>
      <color theme="1"/>
      <name val="Calibri"/>
      <family val="2"/>
      <scheme val="minor"/>
    </font>
    <font>
      <b/>
      <sz val="12"/>
      <color theme="1"/>
      <name val="Calibri"/>
      <family val="2"/>
      <scheme val="minor"/>
    </font>
    <font>
      <i/>
      <sz val="10"/>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1"/>
      <color rgb="FF00B050"/>
      <name val="Calibri"/>
      <family val="2"/>
      <scheme val="minor"/>
    </font>
    <font>
      <b/>
      <u/>
      <sz val="10"/>
      <color theme="10"/>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0"/>
        <bgColor indexed="64"/>
      </patternFill>
    </fill>
    <fill>
      <patternFill patternType="solid">
        <fgColor rgb="FFF79646"/>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0" fontId="3" fillId="0" borderId="0" applyNumberFormat="0" applyFill="0" applyBorder="0" applyAlignment="0" applyProtection="0"/>
    <xf numFmtId="164" fontId="13" fillId="0" borderId="0" applyFont="0" applyFill="0" applyBorder="0" applyAlignment="0" applyProtection="0"/>
  </cellStyleXfs>
  <cellXfs count="205">
    <xf numFmtId="0" fontId="0" fillId="0" borderId="0" xfId="0"/>
    <xf numFmtId="0" fontId="2" fillId="0" borderId="0" xfId="0" applyFont="1" applyAlignment="1">
      <alignment horizontal="right"/>
    </xf>
    <xf numFmtId="0" fontId="2" fillId="0" borderId="0" xfId="0" applyFont="1"/>
    <xf numFmtId="0" fontId="2" fillId="3" borderId="4" xfId="0" applyFont="1" applyFill="1" applyBorder="1" applyAlignment="1">
      <alignment horizontal="center"/>
    </xf>
    <xf numFmtId="0" fontId="2" fillId="3" borderId="5" xfId="0" applyFont="1" applyFill="1" applyBorder="1" applyAlignment="1">
      <alignment horizontal="center"/>
    </xf>
    <xf numFmtId="2" fontId="2" fillId="3" borderId="6" xfId="0" applyNumberFormat="1" applyFont="1" applyFill="1" applyBorder="1" applyAlignment="1">
      <alignment horizontal="center"/>
    </xf>
    <xf numFmtId="0" fontId="2" fillId="0" borderId="0" xfId="0" applyFont="1" applyFill="1" applyBorder="1" applyAlignment="1">
      <alignment horizontal="center"/>
    </xf>
    <xf numFmtId="0" fontId="1" fillId="3" borderId="1" xfId="0" applyFont="1" applyFill="1" applyBorder="1"/>
    <xf numFmtId="0" fontId="2" fillId="3" borderId="2" xfId="0" applyFont="1" applyFill="1" applyBorder="1" applyAlignment="1">
      <alignment horizontal="center"/>
    </xf>
    <xf numFmtId="0" fontId="2" fillId="3" borderId="2" xfId="0" applyFont="1" applyFill="1" applyBorder="1"/>
    <xf numFmtId="0" fontId="2" fillId="3" borderId="3" xfId="0" applyFont="1" applyFill="1" applyBorder="1"/>
    <xf numFmtId="0" fontId="2" fillId="0" borderId="0" xfId="0" applyFont="1" applyFill="1" applyBorder="1"/>
    <xf numFmtId="2" fontId="2" fillId="0" borderId="0" xfId="0" applyNumberFormat="1" applyFont="1" applyFill="1" applyBorder="1"/>
    <xf numFmtId="0" fontId="4" fillId="2" borderId="7" xfId="1" applyFont="1" applyFill="1" applyBorder="1" applyAlignment="1">
      <alignment horizontal="left" vertical="center"/>
    </xf>
    <xf numFmtId="0" fontId="4" fillId="2" borderId="0" xfId="0" applyFont="1" applyFill="1" applyBorder="1" applyAlignment="1">
      <alignment horizontal="center"/>
    </xf>
    <xf numFmtId="2" fontId="4" fillId="2" borderId="8" xfId="0" applyNumberFormat="1" applyFont="1" applyFill="1" applyBorder="1" applyAlignment="1">
      <alignment horizontal="center"/>
    </xf>
    <xf numFmtId="3" fontId="2" fillId="0" borderId="0" xfId="0" applyNumberFormat="1" applyFont="1" applyAlignment="1">
      <alignment horizontal="right"/>
    </xf>
    <xf numFmtId="0" fontId="2" fillId="0" borderId="7" xfId="0" applyFont="1" applyBorder="1" applyAlignment="1">
      <alignment horizontal="left"/>
    </xf>
    <xf numFmtId="0" fontId="2" fillId="0" borderId="0" xfId="0" applyFont="1" applyBorder="1" applyAlignment="1">
      <alignment horizontal="center"/>
    </xf>
    <xf numFmtId="1" fontId="2" fillId="0" borderId="8" xfId="0" applyNumberFormat="1" applyFont="1" applyBorder="1" applyAlignment="1">
      <alignment horizontal="center"/>
    </xf>
    <xf numFmtId="0" fontId="5" fillId="4" borderId="7" xfId="1" applyFont="1" applyFill="1" applyBorder="1" applyAlignment="1">
      <alignment horizontal="left" vertical="center"/>
    </xf>
    <xf numFmtId="3" fontId="2" fillId="0" borderId="8" xfId="0" applyNumberFormat="1" applyFont="1" applyBorder="1" applyAlignment="1">
      <alignment horizontal="right"/>
    </xf>
    <xf numFmtId="0" fontId="2" fillId="0" borderId="8" xfId="0" applyFont="1" applyBorder="1" applyAlignment="1">
      <alignment horizontal="center"/>
    </xf>
    <xf numFmtId="2" fontId="2" fillId="0" borderId="8" xfId="0" applyNumberFormat="1" applyFont="1" applyBorder="1" applyAlignment="1">
      <alignment horizontal="center"/>
    </xf>
    <xf numFmtId="0" fontId="2" fillId="0" borderId="7" xfId="0" applyFont="1" applyBorder="1"/>
    <xf numFmtId="0" fontId="2" fillId="0" borderId="0" xfId="0" applyFont="1" applyBorder="1"/>
    <xf numFmtId="0" fontId="2" fillId="0" borderId="7" xfId="0" applyFont="1" applyFill="1" applyBorder="1" applyAlignment="1">
      <alignment horizontal="left"/>
    </xf>
    <xf numFmtId="3" fontId="2" fillId="0" borderId="0" xfId="0" applyNumberFormat="1" applyFont="1" applyBorder="1" applyAlignment="1">
      <alignment horizontal="center"/>
    </xf>
    <xf numFmtId="3" fontId="2" fillId="0" borderId="8" xfId="0" applyNumberFormat="1" applyFont="1" applyBorder="1"/>
    <xf numFmtId="3" fontId="4" fillId="0" borderId="0" xfId="0" applyNumberFormat="1" applyFont="1" applyAlignment="1">
      <alignment horizontal="right"/>
    </xf>
    <xf numFmtId="0" fontId="4" fillId="0" borderId="0" xfId="0" applyFont="1"/>
    <xf numFmtId="0" fontId="2" fillId="0" borderId="8" xfId="0" applyFont="1" applyBorder="1"/>
    <xf numFmtId="3" fontId="2" fillId="0" borderId="0" xfId="0" applyNumberFormat="1" applyFont="1" applyBorder="1"/>
    <xf numFmtId="0" fontId="6" fillId="4" borderId="7" xfId="1" applyFont="1" applyFill="1" applyBorder="1" applyAlignment="1">
      <alignment horizontal="left" vertical="center"/>
    </xf>
    <xf numFmtId="0" fontId="7" fillId="0" borderId="0" xfId="0" applyFont="1" applyBorder="1" applyAlignment="1">
      <alignment horizontal="center"/>
    </xf>
    <xf numFmtId="0" fontId="7" fillId="0" borderId="0" xfId="0" applyFont="1" applyFill="1" applyBorder="1" applyAlignment="1">
      <alignment horizontal="center"/>
    </xf>
    <xf numFmtId="0" fontId="2" fillId="0" borderId="9" xfId="0" applyFont="1" applyFill="1" applyBorder="1" applyAlignment="1">
      <alignment horizontal="left"/>
    </xf>
    <xf numFmtId="3" fontId="2" fillId="0" borderId="10" xfId="0" applyNumberFormat="1" applyFont="1" applyBorder="1" applyAlignment="1">
      <alignment horizontal="center"/>
    </xf>
    <xf numFmtId="0" fontId="2" fillId="0" borderId="10" xfId="0" applyFont="1" applyBorder="1"/>
    <xf numFmtId="0" fontId="2" fillId="0" borderId="11" xfId="0" applyFont="1" applyBorder="1"/>
    <xf numFmtId="0" fontId="5" fillId="4" borderId="9" xfId="1" applyFont="1" applyFill="1" applyBorder="1" applyAlignment="1">
      <alignment horizontal="left" vertical="center"/>
    </xf>
    <xf numFmtId="0" fontId="2" fillId="0" borderId="10" xfId="0" applyFont="1" applyFill="1" applyBorder="1" applyAlignment="1">
      <alignment horizontal="center"/>
    </xf>
    <xf numFmtId="0" fontId="2" fillId="0" borderId="10" xfId="0" applyFont="1" applyBorder="1" applyAlignment="1">
      <alignment horizontal="center"/>
    </xf>
    <xf numFmtId="3" fontId="2" fillId="0" borderId="11" xfId="0" applyNumberFormat="1" applyFont="1" applyBorder="1" applyAlignment="1">
      <alignment horizontal="right"/>
    </xf>
    <xf numFmtId="0" fontId="1" fillId="3" borderId="1" xfId="0" applyFont="1" applyFill="1" applyBorder="1" applyAlignment="1">
      <alignment horizontal="left"/>
    </xf>
    <xf numFmtId="0" fontId="2" fillId="3" borderId="3" xfId="0" applyFont="1" applyFill="1" applyBorder="1" applyAlignment="1">
      <alignment horizontal="center"/>
    </xf>
    <xf numFmtId="2" fontId="2" fillId="0" borderId="0" xfId="0" applyNumberFormat="1" applyFont="1" applyFill="1" applyBorder="1" applyAlignment="1">
      <alignment horizontal="center"/>
    </xf>
    <xf numFmtId="2" fontId="2" fillId="0" borderId="0" xfId="0" applyNumberFormat="1" applyFont="1" applyBorder="1" applyAlignment="1">
      <alignment horizontal="center"/>
    </xf>
    <xf numFmtId="0" fontId="2" fillId="0" borderId="11" xfId="0" applyFont="1" applyBorder="1" applyAlignment="1">
      <alignment horizontal="center"/>
    </xf>
    <xf numFmtId="0" fontId="1" fillId="0" borderId="0" xfId="0" applyFont="1" applyFill="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2" fontId="2" fillId="0" borderId="0" xfId="0" applyNumberFormat="1" applyFont="1" applyAlignment="1">
      <alignment horizontal="center"/>
    </xf>
    <xf numFmtId="0" fontId="2" fillId="0" borderId="0" xfId="0" applyFont="1" applyFill="1" applyBorder="1" applyAlignment="1">
      <alignment horizontal="left"/>
    </xf>
    <xf numFmtId="0" fontId="2" fillId="0" borderId="0" xfId="0" applyFont="1" applyBorder="1" applyAlignment="1"/>
    <xf numFmtId="3" fontId="4" fillId="0" borderId="0" xfId="0" applyNumberFormat="1" applyFont="1"/>
    <xf numFmtId="0" fontId="2" fillId="0" borderId="0" xfId="0" applyFont="1" applyAlignment="1">
      <alignment horizontal="left"/>
    </xf>
    <xf numFmtId="3" fontId="2" fillId="0" borderId="0" xfId="0" applyNumberFormat="1" applyFont="1"/>
    <xf numFmtId="0" fontId="2" fillId="0" borderId="0" xfId="0" applyFont="1" applyBorder="1" applyAlignment="1">
      <alignment horizontal="right"/>
    </xf>
    <xf numFmtId="0" fontId="2" fillId="3" borderId="5" xfId="0" applyFont="1" applyFill="1" applyBorder="1" applyAlignment="1">
      <alignment horizontal="left"/>
    </xf>
    <xf numFmtId="0" fontId="2" fillId="0" borderId="14" xfId="0" applyFont="1" applyFill="1" applyBorder="1" applyAlignment="1">
      <alignment horizontal="left"/>
    </xf>
    <xf numFmtId="0" fontId="2" fillId="0" borderId="14" xfId="0" applyFont="1" applyBorder="1"/>
    <xf numFmtId="0" fontId="4" fillId="0" borderId="14" xfId="0" applyFont="1" applyBorder="1"/>
    <xf numFmtId="0" fontId="2" fillId="0" borderId="13" xfId="0" applyFont="1" applyBorder="1"/>
    <xf numFmtId="0" fontId="5" fillId="4" borderId="0" xfId="1" applyFont="1" applyFill="1" applyBorder="1" applyAlignment="1">
      <alignment horizontal="left" vertical="center"/>
    </xf>
    <xf numFmtId="3" fontId="2" fillId="0" borderId="0" xfId="0" applyNumberFormat="1" applyFont="1" applyBorder="1" applyAlignment="1">
      <alignment horizontal="right"/>
    </xf>
    <xf numFmtId="0" fontId="6" fillId="4" borderId="0" xfId="1" applyFont="1" applyFill="1" applyBorder="1" applyAlignment="1">
      <alignment horizontal="left" vertical="center"/>
    </xf>
    <xf numFmtId="0" fontId="2" fillId="4" borderId="0" xfId="0" applyFont="1" applyFill="1" applyBorder="1" applyAlignment="1">
      <alignment horizontal="center"/>
    </xf>
    <xf numFmtId="0" fontId="4" fillId="4" borderId="0" xfId="1" applyFont="1" applyFill="1" applyBorder="1" applyAlignment="1">
      <alignment horizontal="left" vertical="center"/>
    </xf>
    <xf numFmtId="0" fontId="4" fillId="4" borderId="0" xfId="0" applyFont="1" applyFill="1" applyBorder="1" applyAlignment="1">
      <alignment horizontal="center"/>
    </xf>
    <xf numFmtId="2" fontId="4" fillId="4" borderId="0" xfId="0" applyNumberFormat="1" applyFont="1" applyFill="1" applyBorder="1" applyAlignment="1">
      <alignment horizontal="center"/>
    </xf>
    <xf numFmtId="0" fontId="10" fillId="5" borderId="15" xfId="0" applyFont="1" applyFill="1" applyBorder="1" applyAlignment="1">
      <alignment vertical="center"/>
    </xf>
    <xf numFmtId="0" fontId="2" fillId="0" borderId="14" xfId="0" applyFont="1" applyBorder="1" applyAlignment="1">
      <alignment vertical="center"/>
    </xf>
    <xf numFmtId="0" fontId="0" fillId="0" borderId="0" xfId="0" applyBorder="1"/>
    <xf numFmtId="3" fontId="2" fillId="0" borderId="18" xfId="0" applyNumberFormat="1" applyFont="1" applyBorder="1" applyAlignment="1">
      <alignment horizontal="right"/>
    </xf>
    <xf numFmtId="0" fontId="11" fillId="0" borderId="13" xfId="0" applyFont="1" applyBorder="1" applyAlignment="1">
      <alignment vertical="center"/>
    </xf>
    <xf numFmtId="0" fontId="0" fillId="0" borderId="12" xfId="0" applyBorder="1"/>
    <xf numFmtId="0" fontId="2" fillId="0" borderId="12" xfId="0" applyFont="1" applyFill="1" applyBorder="1" applyAlignment="1">
      <alignment horizontal="center"/>
    </xf>
    <xf numFmtId="0" fontId="2" fillId="0" borderId="12" xfId="0" applyFont="1" applyBorder="1" applyAlignment="1">
      <alignment horizontal="center"/>
    </xf>
    <xf numFmtId="3" fontId="2" fillId="0" borderId="19" xfId="0" applyNumberFormat="1" applyFont="1" applyBorder="1" applyAlignment="1">
      <alignment horizontal="right"/>
    </xf>
    <xf numFmtId="0" fontId="0" fillId="3" borderId="16" xfId="0" applyFill="1" applyBorder="1"/>
    <xf numFmtId="0" fontId="2" fillId="3" borderId="16" xfId="0" applyFont="1" applyFill="1" applyBorder="1" applyAlignment="1">
      <alignment horizontal="center"/>
    </xf>
    <xf numFmtId="3" fontId="2" fillId="3" borderId="17" xfId="0" applyNumberFormat="1" applyFont="1" applyFill="1" applyBorder="1" applyAlignment="1">
      <alignment horizontal="right"/>
    </xf>
    <xf numFmtId="0" fontId="2" fillId="4" borderId="0" xfId="0" applyFont="1" applyFill="1" applyBorder="1" applyAlignment="1">
      <alignment horizontal="left"/>
    </xf>
    <xf numFmtId="0" fontId="2" fillId="4" borderId="0" xfId="0" applyFont="1" applyFill="1" applyBorder="1"/>
    <xf numFmtId="0" fontId="4" fillId="4" borderId="0" xfId="0" applyFont="1" applyFill="1" applyBorder="1"/>
    <xf numFmtId="0" fontId="11" fillId="0" borderId="0" xfId="0" applyFont="1" applyBorder="1" applyAlignment="1">
      <alignment vertical="center"/>
    </xf>
    <xf numFmtId="3" fontId="12" fillId="0" borderId="8" xfId="0" applyNumberFormat="1" applyFont="1" applyBorder="1" applyAlignment="1">
      <alignment horizontal="right"/>
    </xf>
    <xf numFmtId="164" fontId="7" fillId="0" borderId="0" xfId="2" applyFont="1" applyBorder="1" applyAlignment="1">
      <alignment horizontal="center"/>
    </xf>
    <xf numFmtId="0" fontId="4" fillId="0" borderId="0" xfId="0" applyFont="1" applyBorder="1"/>
    <xf numFmtId="0" fontId="5" fillId="4" borderId="5" xfId="1" applyFont="1" applyFill="1" applyBorder="1" applyAlignment="1">
      <alignment horizontal="left" vertical="center"/>
    </xf>
    <xf numFmtId="0" fontId="2" fillId="0" borderId="5" xfId="0" applyFont="1" applyBorder="1" applyAlignment="1">
      <alignment horizontal="center"/>
    </xf>
    <xf numFmtId="0" fontId="2" fillId="0" borderId="5" xfId="0" applyFont="1" applyFill="1" applyBorder="1" applyAlignment="1">
      <alignment horizontal="center"/>
    </xf>
    <xf numFmtId="3" fontId="2" fillId="0" borderId="5" xfId="0" applyNumberFormat="1" applyFont="1" applyBorder="1" applyAlignment="1">
      <alignment horizontal="right"/>
    </xf>
    <xf numFmtId="0" fontId="2" fillId="0" borderId="5" xfId="0" applyFont="1" applyBorder="1"/>
    <xf numFmtId="0" fontId="4" fillId="0" borderId="5" xfId="0" applyFont="1" applyBorder="1"/>
    <xf numFmtId="0" fontId="2" fillId="0" borderId="5" xfId="0" applyFont="1" applyFill="1" applyBorder="1" applyAlignment="1">
      <alignment horizontal="left"/>
    </xf>
    <xf numFmtId="0" fontId="2" fillId="0" borderId="5" xfId="0" applyFont="1" applyBorder="1" applyAlignment="1">
      <alignment horizontal="left"/>
    </xf>
    <xf numFmtId="0" fontId="6" fillId="4" borderId="5" xfId="1" applyFont="1" applyFill="1" applyBorder="1" applyAlignment="1">
      <alignment horizontal="left" vertical="center"/>
    </xf>
    <xf numFmtId="0" fontId="7" fillId="0" borderId="5" xfId="0" applyFont="1" applyBorder="1" applyAlignment="1">
      <alignment horizontal="center"/>
    </xf>
    <xf numFmtId="0" fontId="7" fillId="0" borderId="5" xfId="0" applyFont="1" applyFill="1" applyBorder="1" applyAlignment="1">
      <alignment horizontal="center"/>
    </xf>
    <xf numFmtId="1" fontId="2" fillId="0" borderId="5" xfId="0" applyNumberFormat="1" applyFont="1" applyBorder="1" applyAlignment="1">
      <alignment horizontal="center"/>
    </xf>
    <xf numFmtId="2" fontId="2" fillId="0" borderId="5" xfId="0" applyNumberFormat="1" applyFont="1" applyBorder="1" applyAlignment="1">
      <alignment horizontal="center"/>
    </xf>
    <xf numFmtId="3" fontId="2" fillId="0" borderId="5" xfId="0" applyNumberFormat="1" applyFont="1" applyBorder="1" applyAlignment="1">
      <alignment horizontal="center"/>
    </xf>
    <xf numFmtId="3" fontId="2" fillId="0" borderId="5" xfId="0" applyNumberFormat="1" applyFont="1" applyBorder="1"/>
    <xf numFmtId="3" fontId="7" fillId="0" borderId="5" xfId="0" applyNumberFormat="1" applyFont="1" applyBorder="1" applyAlignment="1">
      <alignment horizontal="center"/>
    </xf>
    <xf numFmtId="0" fontId="12" fillId="0" borderId="13" xfId="0" applyFont="1" applyBorder="1" applyAlignment="1">
      <alignment vertical="center"/>
    </xf>
    <xf numFmtId="0" fontId="17" fillId="0" borderId="0" xfId="0" applyFont="1"/>
    <xf numFmtId="0" fontId="16" fillId="0" borderId="0" xfId="0" applyFont="1"/>
    <xf numFmtId="0" fontId="18" fillId="0" borderId="0" xfId="0" applyFont="1"/>
    <xf numFmtId="0" fontId="16" fillId="0" borderId="20" xfId="0" applyFont="1" applyBorder="1"/>
    <xf numFmtId="0" fontId="19" fillId="0" borderId="21" xfId="0" applyFont="1" applyBorder="1" applyAlignment="1">
      <alignment vertical="top"/>
    </xf>
    <xf numFmtId="0" fontId="16" fillId="0" borderId="22" xfId="0" applyFont="1" applyBorder="1" applyAlignment="1">
      <alignment wrapText="1"/>
    </xf>
    <xf numFmtId="0" fontId="16" fillId="0" borderId="23" xfId="0" applyFont="1" applyBorder="1" applyAlignment="1">
      <alignment wrapText="1"/>
    </xf>
    <xf numFmtId="0" fontId="19" fillId="6" borderId="13" xfId="0" applyFont="1" applyFill="1" applyBorder="1"/>
    <xf numFmtId="0" fontId="0" fillId="6" borderId="25" xfId="0" applyFill="1" applyBorder="1"/>
    <xf numFmtId="0" fontId="0" fillId="6" borderId="26" xfId="0" applyFill="1" applyBorder="1" applyAlignment="1">
      <alignment horizontal="right"/>
    </xf>
    <xf numFmtId="0" fontId="0" fillId="6" borderId="25" xfId="0" applyFont="1" applyFill="1" applyBorder="1"/>
    <xf numFmtId="0" fontId="16" fillId="7" borderId="27" xfId="0" applyFont="1" applyFill="1" applyBorder="1"/>
    <xf numFmtId="0" fontId="16" fillId="7" borderId="5" xfId="0" applyFont="1" applyFill="1" applyBorder="1"/>
    <xf numFmtId="0" fontId="20" fillId="0" borderId="0" xfId="0" applyFont="1"/>
    <xf numFmtId="0" fontId="0" fillId="0" borderId="28" xfId="0" applyFont="1" applyFill="1" applyBorder="1"/>
    <xf numFmtId="0" fontId="0" fillId="0" borderId="29" xfId="0" applyFill="1" applyBorder="1" applyAlignment="1">
      <alignment horizontal="right"/>
    </xf>
    <xf numFmtId="0" fontId="16" fillId="0" borderId="30" xfId="0" applyFont="1" applyFill="1" applyBorder="1"/>
    <xf numFmtId="0" fontId="16" fillId="0" borderId="31" xfId="0" applyFont="1" applyFill="1" applyBorder="1"/>
    <xf numFmtId="0" fontId="0" fillId="0" borderId="13" xfId="0" applyBorder="1"/>
    <xf numFmtId="0" fontId="0" fillId="6" borderId="24" xfId="0" applyFill="1" applyBorder="1" applyAlignment="1">
      <alignment horizontal="right"/>
    </xf>
    <xf numFmtId="0" fontId="0" fillId="6" borderId="19" xfId="0" applyFill="1" applyBorder="1"/>
    <xf numFmtId="0" fontId="0" fillId="6" borderId="32" xfId="0" applyFill="1" applyBorder="1"/>
    <xf numFmtId="0" fontId="0" fillId="0" borderId="25" xfId="0" applyBorder="1" applyAlignment="1"/>
    <xf numFmtId="0" fontId="0" fillId="0" borderId="33" xfId="0" applyBorder="1"/>
    <xf numFmtId="0" fontId="0" fillId="0" borderId="34" xfId="0" applyBorder="1" applyAlignment="1">
      <alignment horizontal="right"/>
    </xf>
    <xf numFmtId="0" fontId="0" fillId="0" borderId="35" xfId="0" applyBorder="1"/>
    <xf numFmtId="0" fontId="0" fillId="0" borderId="36" xfId="0" applyBorder="1"/>
    <xf numFmtId="0" fontId="16" fillId="0" borderId="13" xfId="0" applyFont="1" applyBorder="1"/>
    <xf numFmtId="1" fontId="21" fillId="0" borderId="24" xfId="0" applyNumberFormat="1" applyFont="1" applyFill="1" applyBorder="1" applyAlignment="1">
      <alignment horizontal="right"/>
    </xf>
    <xf numFmtId="0" fontId="2" fillId="0" borderId="0" xfId="0" applyFont="1" applyAlignment="1">
      <alignment vertical="top"/>
    </xf>
    <xf numFmtId="0" fontId="19" fillId="8" borderId="24" xfId="0" applyFont="1" applyFill="1" applyBorder="1" applyAlignment="1">
      <alignment horizontal="right"/>
    </xf>
    <xf numFmtId="0" fontId="19" fillId="8" borderId="19" xfId="0" applyFont="1" applyFill="1" applyBorder="1"/>
    <xf numFmtId="0" fontId="0" fillId="8" borderId="26" xfId="0" applyFill="1" applyBorder="1" applyAlignment="1">
      <alignment horizontal="right"/>
    </xf>
    <xf numFmtId="0" fontId="0" fillId="8" borderId="27" xfId="0" applyFill="1" applyBorder="1"/>
    <xf numFmtId="0" fontId="0" fillId="4" borderId="24" xfId="0" applyFill="1" applyBorder="1" applyAlignment="1">
      <alignment horizontal="right"/>
    </xf>
    <xf numFmtId="0" fontId="0" fillId="4" borderId="19" xfId="0" applyFill="1" applyBorder="1"/>
    <xf numFmtId="0" fontId="0" fillId="4" borderId="32" xfId="0" applyFill="1" applyBorder="1"/>
    <xf numFmtId="0" fontId="0" fillId="0" borderId="25" xfId="0" applyFont="1" applyBorder="1" applyAlignment="1"/>
    <xf numFmtId="0" fontId="22" fillId="6" borderId="27" xfId="0" applyFont="1" applyFill="1" applyBorder="1"/>
    <xf numFmtId="0" fontId="22" fillId="6" borderId="5" xfId="0" applyFont="1" applyFill="1" applyBorder="1"/>
    <xf numFmtId="0" fontId="22" fillId="6" borderId="5" xfId="0" applyFont="1" applyFill="1" applyBorder="1" applyAlignment="1">
      <alignment horizontal="right"/>
    </xf>
    <xf numFmtId="0" fontId="16" fillId="6" borderId="27" xfId="0" applyFont="1" applyFill="1" applyBorder="1"/>
    <xf numFmtId="0" fontId="16" fillId="6" borderId="5" xfId="0" applyFont="1" applyFill="1" applyBorder="1"/>
    <xf numFmtId="0" fontId="19" fillId="0" borderId="33" xfId="0" applyFont="1" applyBorder="1"/>
    <xf numFmtId="1" fontId="21" fillId="0" borderId="34" xfId="0" applyNumberFormat="1" applyFont="1" applyFill="1" applyBorder="1" applyAlignment="1">
      <alignment horizontal="right"/>
    </xf>
    <xf numFmtId="0" fontId="19" fillId="0" borderId="35" xfId="0" applyFont="1" applyBorder="1"/>
    <xf numFmtId="1" fontId="19" fillId="0" borderId="19" xfId="0" applyNumberFormat="1" applyFont="1" applyFill="1" applyBorder="1"/>
    <xf numFmtId="0" fontId="22" fillId="0" borderId="25" xfId="0" applyFont="1" applyBorder="1"/>
    <xf numFmtId="1" fontId="22" fillId="2" borderId="26" xfId="0" applyNumberFormat="1" applyFont="1" applyFill="1" applyBorder="1" applyAlignment="1">
      <alignment horizontal="right"/>
    </xf>
    <xf numFmtId="1" fontId="16" fillId="2" borderId="27" xfId="0" applyNumberFormat="1" applyFont="1" applyFill="1" applyBorder="1"/>
    <xf numFmtId="0" fontId="0" fillId="0" borderId="21" xfId="0" applyFont="1" applyBorder="1" applyAlignment="1">
      <alignment horizontal="right"/>
    </xf>
    <xf numFmtId="0" fontId="1" fillId="3" borderId="7" xfId="0" applyFont="1" applyFill="1" applyBorder="1"/>
    <xf numFmtId="0" fontId="2" fillId="3" borderId="0" xfId="0" applyFont="1" applyFill="1" applyBorder="1" applyAlignment="1">
      <alignment horizontal="center"/>
    </xf>
    <xf numFmtId="0" fontId="2" fillId="3" borderId="0" xfId="0" applyFont="1" applyFill="1" applyBorder="1"/>
    <xf numFmtId="0" fontId="2" fillId="3" borderId="8" xfId="0" applyFont="1" applyFill="1" applyBorder="1"/>
    <xf numFmtId="0" fontId="23" fillId="4" borderId="0" xfId="1" applyFont="1" applyFill="1" applyBorder="1" applyAlignment="1">
      <alignment horizontal="left" vertical="center"/>
    </xf>
    <xf numFmtId="2" fontId="2" fillId="0" borderId="11" xfId="0" applyNumberFormat="1" applyFont="1" applyBorder="1"/>
    <xf numFmtId="1" fontId="7" fillId="0" borderId="0" xfId="0" applyNumberFormat="1" applyFont="1" applyBorder="1" applyAlignment="1">
      <alignment horizontal="center"/>
    </xf>
    <xf numFmtId="165" fontId="2" fillId="0" borderId="8" xfId="0" applyNumberFormat="1" applyFont="1" applyBorder="1"/>
    <xf numFmtId="165" fontId="2" fillId="0" borderId="11" xfId="0" applyNumberFormat="1" applyFont="1" applyBorder="1"/>
    <xf numFmtId="0" fontId="1" fillId="0" borderId="0"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1" fillId="0" borderId="14" xfId="0" applyFont="1" applyBorder="1" applyAlignment="1">
      <alignment vertical="center" wrapText="1"/>
    </xf>
    <xf numFmtId="0" fontId="11" fillId="0" borderId="0" xfId="0" applyFont="1" applyBorder="1" applyAlignment="1">
      <alignment vertical="center"/>
    </xf>
    <xf numFmtId="0" fontId="0" fillId="0" borderId="0" xfId="0" applyBorder="1" applyAlignment="1"/>
    <xf numFmtId="0" fontId="0" fillId="0" borderId="18" xfId="0" applyBorder="1" applyAlignment="1"/>
    <xf numFmtId="0" fontId="0" fillId="0" borderId="14" xfId="0" applyBorder="1" applyAlignment="1"/>
    <xf numFmtId="1" fontId="16" fillId="2" borderId="25" xfId="0" applyNumberFormat="1" applyFont="1" applyFill="1" applyBorder="1" applyAlignment="1">
      <alignment horizontal="center"/>
    </xf>
    <xf numFmtId="1" fontId="16" fillId="2" borderId="27" xfId="0" applyNumberFormat="1" applyFont="1" applyFill="1" applyBorder="1" applyAlignment="1">
      <alignment horizontal="center"/>
    </xf>
    <xf numFmtId="0" fontId="4" fillId="0" borderId="0" xfId="0" applyFont="1" applyFill="1" applyBorder="1"/>
    <xf numFmtId="0" fontId="2" fillId="0" borderId="0" xfId="0" applyFont="1" applyFill="1" applyBorder="1" applyAlignment="1">
      <alignment horizontal="right"/>
    </xf>
    <xf numFmtId="2" fontId="2" fillId="0" borderId="0" xfId="0" applyNumberFormat="1" applyFont="1" applyFill="1" applyBorder="1" applyAlignment="1">
      <alignment horizontal="right"/>
    </xf>
    <xf numFmtId="2" fontId="4" fillId="0" borderId="0" xfId="0" applyNumberFormat="1" applyFont="1" applyFill="1" applyBorder="1"/>
    <xf numFmtId="3" fontId="4" fillId="0" borderId="0" xfId="0" applyNumberFormat="1" applyFont="1" applyFill="1" applyBorder="1"/>
    <xf numFmtId="3" fontId="2" fillId="0" borderId="0" xfId="0" applyNumberFormat="1" applyFont="1" applyFill="1" applyBorder="1"/>
    <xf numFmtId="3" fontId="2" fillId="0" borderId="0" xfId="0" applyNumberFormat="1" applyFont="1" applyFill="1" applyBorder="1" applyAlignment="1">
      <alignment horizontal="center"/>
    </xf>
    <xf numFmtId="0" fontId="17" fillId="0" borderId="0" xfId="0" applyFont="1" applyFill="1" applyBorder="1"/>
    <xf numFmtId="0" fontId="16" fillId="0" borderId="0" xfId="0" applyFont="1" applyFill="1" applyBorder="1"/>
    <xf numFmtId="0" fontId="0" fillId="0" borderId="0" xfId="0" applyFill="1" applyBorder="1"/>
    <xf numFmtId="0" fontId="18" fillId="0" borderId="0" xfId="0" applyFont="1" applyFill="1" applyBorder="1"/>
    <xf numFmtId="0" fontId="19" fillId="0" borderId="0" xfId="0" applyFont="1" applyFill="1" applyBorder="1" applyAlignment="1">
      <alignment vertical="top"/>
    </xf>
    <xf numFmtId="0" fontId="16" fillId="0" borderId="0" xfId="0" applyFont="1" applyFill="1" applyBorder="1" applyAlignment="1">
      <alignment wrapText="1"/>
    </xf>
    <xf numFmtId="0" fontId="19" fillId="0" borderId="0" xfId="0" applyFont="1" applyFill="1" applyBorder="1"/>
    <xf numFmtId="0" fontId="19" fillId="0" borderId="0" xfId="0" applyFont="1" applyFill="1" applyBorder="1" applyAlignment="1">
      <alignment horizontal="right"/>
    </xf>
    <xf numFmtId="0" fontId="0" fillId="0" borderId="0" xfId="0" applyFill="1" applyBorder="1" applyAlignment="1">
      <alignment horizontal="right"/>
    </xf>
    <xf numFmtId="0" fontId="0" fillId="0" borderId="0" xfId="0" applyFont="1" applyFill="1" applyBorder="1"/>
    <xf numFmtId="0" fontId="0" fillId="0" borderId="0" xfId="0" applyFont="1" applyFill="1" applyBorder="1" applyAlignment="1"/>
    <xf numFmtId="0" fontId="22" fillId="0" borderId="0" xfId="0" applyFont="1" applyFill="1" applyBorder="1"/>
    <xf numFmtId="0" fontId="22" fillId="0" borderId="0" xfId="0" applyFont="1" applyFill="1" applyBorder="1" applyAlignment="1">
      <alignment horizontal="right"/>
    </xf>
    <xf numFmtId="0" fontId="0" fillId="0" borderId="0" xfId="0" applyFill="1" applyBorder="1" applyAlignment="1"/>
    <xf numFmtId="1" fontId="21" fillId="0" borderId="0" xfId="0" applyNumberFormat="1" applyFont="1" applyFill="1" applyBorder="1" applyAlignment="1">
      <alignment horizontal="right"/>
    </xf>
    <xf numFmtId="1" fontId="19" fillId="0" borderId="0" xfId="0" applyNumberFormat="1" applyFont="1" applyFill="1" applyBorder="1"/>
    <xf numFmtId="1" fontId="22" fillId="0" borderId="0" xfId="0" applyNumberFormat="1" applyFont="1" applyFill="1" applyBorder="1" applyAlignment="1">
      <alignment horizontal="right"/>
    </xf>
    <xf numFmtId="1" fontId="16" fillId="0" borderId="0" xfId="0" applyNumberFormat="1" applyFont="1" applyFill="1" applyBorder="1" applyAlignment="1">
      <alignment horizontal="center"/>
    </xf>
    <xf numFmtId="0" fontId="0" fillId="0" borderId="0" xfId="0" applyFont="1" applyFill="1" applyBorder="1" applyAlignment="1">
      <alignment horizontal="right"/>
    </xf>
    <xf numFmtId="1" fontId="16" fillId="0" borderId="0" xfId="0" applyNumberFormat="1" applyFont="1" applyFill="1" applyBorder="1"/>
  </cellXfs>
  <cellStyles count="3">
    <cellStyle name="Hyperkobling" xfId="1" builtinId="8"/>
    <cellStyle name="Komma" xfId="2" builtinId="3"/>
    <cellStyle name="Normal" xfId="0" builtinId="0"/>
  </cellStyles>
  <dxfs count="1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04"/>
  <sheetViews>
    <sheetView tabSelected="1" zoomScale="50" zoomScaleNormal="50" workbookViewId="0">
      <selection activeCell="N52" sqref="N52"/>
    </sheetView>
  </sheetViews>
  <sheetFormatPr baseColWidth="10" defaultColWidth="9.1796875" defaultRowHeight="13" x14ac:dyDescent="0.3"/>
  <cols>
    <col min="1" max="1" width="41.81640625" style="56" customWidth="1"/>
    <col min="2" max="2" width="12.81640625" style="51" customWidth="1"/>
    <col min="3" max="3" width="10.7265625" style="51" customWidth="1"/>
    <col min="4" max="4" width="12.54296875" style="51" customWidth="1"/>
    <col min="5" max="5" width="11.26953125" style="51" customWidth="1"/>
    <col min="6" max="6" width="9.7265625" style="51" customWidth="1"/>
    <col min="7" max="7" width="10" style="51" customWidth="1"/>
    <col min="8" max="9" width="14.1796875" style="51" customWidth="1"/>
    <col min="10" max="10" width="5.7265625" style="51" customWidth="1"/>
    <col min="11" max="11" width="9.7265625" style="51" customWidth="1"/>
    <col min="12" max="12" width="12.54296875" style="52" bestFit="1" customWidth="1"/>
    <col min="13" max="13" width="13.7265625" style="1" customWidth="1"/>
    <col min="14" max="14" width="36.81640625" style="2" customWidth="1"/>
    <col min="15" max="15" width="10.1796875" style="2" customWidth="1"/>
    <col min="16" max="16" width="30" style="2" customWidth="1"/>
    <col min="17" max="17" width="9.81640625" style="2" bestFit="1" customWidth="1"/>
    <col min="18" max="18" width="27.26953125" style="2" bestFit="1" customWidth="1"/>
    <col min="19" max="23" width="9.1796875" style="2"/>
    <col min="24" max="24" width="50.54296875" style="2" customWidth="1"/>
    <col min="25" max="16384" width="9.1796875" style="2"/>
  </cols>
  <sheetData>
    <row r="1" spans="1:23" ht="13.5" thickBot="1" x14ac:dyDescent="0.35">
      <c r="A1" s="56" t="s">
        <v>35</v>
      </c>
    </row>
    <row r="2" spans="1:23" ht="13.5" thickBot="1" x14ac:dyDescent="0.35">
      <c r="A2" s="168"/>
      <c r="B2" s="169"/>
      <c r="C2" s="169"/>
      <c r="D2" s="169"/>
      <c r="E2" s="169"/>
      <c r="F2" s="169"/>
      <c r="G2" s="169"/>
      <c r="H2" s="169"/>
      <c r="I2" s="169"/>
      <c r="J2" s="169"/>
      <c r="K2" s="169"/>
      <c r="L2" s="170"/>
    </row>
    <row r="3" spans="1:23" x14ac:dyDescent="0.3">
      <c r="A3" s="3" t="s">
        <v>0</v>
      </c>
      <c r="B3" s="4" t="s">
        <v>1</v>
      </c>
      <c r="C3" s="4" t="s">
        <v>2</v>
      </c>
      <c r="D3" s="4" t="s">
        <v>44</v>
      </c>
      <c r="E3" s="59" t="s">
        <v>45</v>
      </c>
      <c r="F3" s="4" t="s">
        <v>3</v>
      </c>
      <c r="G3" s="4" t="s">
        <v>4</v>
      </c>
      <c r="H3" s="4" t="s">
        <v>5</v>
      </c>
      <c r="I3" s="4" t="s">
        <v>100</v>
      </c>
      <c r="J3" s="4" t="s">
        <v>6</v>
      </c>
      <c r="K3" s="4" t="s">
        <v>7</v>
      </c>
      <c r="L3" s="5" t="s">
        <v>8</v>
      </c>
      <c r="M3" s="6"/>
      <c r="N3" s="7" t="s">
        <v>9</v>
      </c>
      <c r="O3" s="8"/>
      <c r="P3" s="9"/>
      <c r="Q3" s="10"/>
      <c r="T3" s="11"/>
      <c r="U3" s="11"/>
      <c r="V3" s="11"/>
      <c r="W3" s="12"/>
    </row>
    <row r="4" spans="1:23" x14ac:dyDescent="0.3">
      <c r="A4" s="13"/>
      <c r="B4" s="14"/>
      <c r="C4" s="14"/>
      <c r="D4" s="14"/>
      <c r="E4" s="14"/>
      <c r="F4" s="14"/>
      <c r="G4" s="14"/>
      <c r="H4" s="14"/>
      <c r="I4" s="14"/>
      <c r="J4" s="14"/>
      <c r="K4" s="14"/>
      <c r="L4" s="15"/>
      <c r="M4" s="16"/>
      <c r="N4" s="17" t="s">
        <v>191</v>
      </c>
      <c r="O4" s="18">
        <f>K22</f>
        <v>17700</v>
      </c>
      <c r="P4" s="18" t="s">
        <v>10</v>
      </c>
      <c r="Q4" s="19">
        <f>O4/60</f>
        <v>295</v>
      </c>
      <c r="T4" s="11"/>
      <c r="U4" s="11"/>
      <c r="V4" s="11"/>
      <c r="W4" s="12"/>
    </row>
    <row r="5" spans="1:23" x14ac:dyDescent="0.3">
      <c r="A5" s="56" t="s">
        <v>181</v>
      </c>
      <c r="B5" s="91" t="s">
        <v>33</v>
      </c>
      <c r="C5" s="91">
        <v>38</v>
      </c>
      <c r="D5" s="91"/>
      <c r="E5" s="91">
        <v>1.5</v>
      </c>
      <c r="F5" s="91">
        <v>2</v>
      </c>
      <c r="G5" s="91">
        <v>300</v>
      </c>
      <c r="H5" s="91">
        <f t="shared" ref="H5:H6" si="0">C5*4+D5*G5+E5*(F5)*G5</f>
        <v>1052</v>
      </c>
      <c r="I5" s="91">
        <f t="shared" ref="I5:I21" si="1">F5*G5*E5</f>
        <v>900</v>
      </c>
      <c r="J5" s="51">
        <v>10</v>
      </c>
      <c r="K5" s="91">
        <f>G5*J5</f>
        <v>3000</v>
      </c>
      <c r="L5" s="93">
        <f>K5*30863/60-H5*O7</f>
        <v>1192518.3999999999</v>
      </c>
    </row>
    <row r="6" spans="1:23" x14ac:dyDescent="0.3">
      <c r="A6" s="90" t="s">
        <v>42</v>
      </c>
      <c r="B6" s="91" t="s">
        <v>33</v>
      </c>
      <c r="C6" s="92">
        <v>182</v>
      </c>
      <c r="D6" s="91">
        <v>1.5</v>
      </c>
      <c r="E6" s="92"/>
      <c r="F6" s="91">
        <v>1</v>
      </c>
      <c r="G6" s="91">
        <v>300</v>
      </c>
      <c r="H6" s="91">
        <f t="shared" si="0"/>
        <v>1178</v>
      </c>
      <c r="I6" s="91">
        <f t="shared" si="1"/>
        <v>0</v>
      </c>
      <c r="J6" s="92"/>
      <c r="K6" s="91">
        <f>G6*J6</f>
        <v>0</v>
      </c>
      <c r="L6" s="93">
        <f>K6*30863/60-H6*O7</f>
        <v>-392627.4</v>
      </c>
      <c r="N6" s="17"/>
      <c r="O6" s="18"/>
      <c r="P6" s="18"/>
      <c r="Q6" s="19"/>
      <c r="T6" s="11"/>
      <c r="U6" s="11"/>
      <c r="V6" s="11"/>
      <c r="W6" s="12"/>
    </row>
    <row r="7" spans="1:23" x14ac:dyDescent="0.3">
      <c r="A7" s="90" t="s">
        <v>37</v>
      </c>
      <c r="B7" s="91" t="s">
        <v>33</v>
      </c>
      <c r="C7" s="92">
        <v>156</v>
      </c>
      <c r="D7" s="91"/>
      <c r="E7" s="92"/>
      <c r="F7" s="91">
        <v>1</v>
      </c>
      <c r="G7" s="91">
        <v>180</v>
      </c>
      <c r="H7" s="91">
        <f>C7*4+D7*G7+E7*(F7)*G7</f>
        <v>624</v>
      </c>
      <c r="I7" s="91">
        <f t="shared" si="1"/>
        <v>0</v>
      </c>
      <c r="J7" s="92"/>
      <c r="K7" s="91">
        <f>G7*J7</f>
        <v>0</v>
      </c>
      <c r="L7" s="93">
        <f>K7*30863/60-H7*O7</f>
        <v>-207979.2</v>
      </c>
      <c r="N7" s="97" t="s">
        <v>130</v>
      </c>
      <c r="O7" s="91">
        <v>333.3</v>
      </c>
      <c r="P7" s="18"/>
      <c r="Q7" s="19"/>
      <c r="T7" s="11"/>
      <c r="U7" s="11"/>
      <c r="V7" s="11"/>
      <c r="W7" s="12"/>
    </row>
    <row r="8" spans="1:23" x14ac:dyDescent="0.3">
      <c r="A8" s="90" t="s">
        <v>23</v>
      </c>
      <c r="B8" s="91" t="s">
        <v>33</v>
      </c>
      <c r="C8" s="92">
        <v>22</v>
      </c>
      <c r="D8" s="91"/>
      <c r="E8" s="92">
        <v>1.5</v>
      </c>
      <c r="F8" s="91">
        <v>2</v>
      </c>
      <c r="G8" s="91">
        <v>180</v>
      </c>
      <c r="H8" s="91">
        <f>C8*4+D8*G8+E8*(F8)*G8</f>
        <v>628</v>
      </c>
      <c r="I8" s="91">
        <f t="shared" si="1"/>
        <v>540</v>
      </c>
      <c r="J8" s="92">
        <v>20</v>
      </c>
      <c r="K8" s="91">
        <f>G8*J8</f>
        <v>3600</v>
      </c>
      <c r="L8" s="93">
        <f>K8*30863/60-H8*O7</f>
        <v>1642467.6</v>
      </c>
      <c r="N8" s="17"/>
      <c r="O8" s="18"/>
      <c r="P8" s="18"/>
      <c r="Q8" s="19"/>
      <c r="T8" s="11"/>
      <c r="U8" s="11"/>
      <c r="V8" s="11"/>
      <c r="W8" s="12"/>
    </row>
    <row r="9" spans="1:23" x14ac:dyDescent="0.3">
      <c r="A9" s="90" t="s">
        <v>36</v>
      </c>
      <c r="B9" s="91" t="s">
        <v>33</v>
      </c>
      <c r="C9" s="92">
        <v>44</v>
      </c>
      <c r="D9" s="91">
        <v>1.5</v>
      </c>
      <c r="E9" s="92"/>
      <c r="F9" s="91">
        <v>1</v>
      </c>
      <c r="G9" s="91">
        <v>160</v>
      </c>
      <c r="H9" s="91">
        <f t="shared" ref="H9:H20" si="2">C9*4+D9*G9+E9*(F9)*G9</f>
        <v>416</v>
      </c>
      <c r="I9" s="91">
        <f t="shared" si="1"/>
        <v>0</v>
      </c>
      <c r="J9" s="92"/>
      <c r="K9" s="91">
        <f>G9*J9</f>
        <v>0</v>
      </c>
      <c r="L9" s="93">
        <f>K9*30863/60-H9*O7</f>
        <v>-138652.80000000002</v>
      </c>
      <c r="N9" s="17" t="s">
        <v>189</v>
      </c>
      <c r="O9" s="18">
        <v>17112</v>
      </c>
      <c r="P9" s="18" t="s">
        <v>190</v>
      </c>
      <c r="Q9" s="19">
        <f>O9*117</f>
        <v>2002104</v>
      </c>
      <c r="T9" s="11"/>
      <c r="U9" s="11"/>
      <c r="V9" s="11"/>
      <c r="W9" s="12"/>
    </row>
    <row r="10" spans="1:23" x14ac:dyDescent="0.3">
      <c r="A10" s="90" t="s">
        <v>24</v>
      </c>
      <c r="B10" s="92" t="s">
        <v>34</v>
      </c>
      <c r="C10" s="92">
        <v>70</v>
      </c>
      <c r="D10" s="91"/>
      <c r="E10" s="92">
        <v>1.5</v>
      </c>
      <c r="F10" s="91">
        <v>2</v>
      </c>
      <c r="G10" s="91">
        <v>160</v>
      </c>
      <c r="H10" s="91">
        <f t="shared" si="2"/>
        <v>760</v>
      </c>
      <c r="I10" s="91">
        <f t="shared" si="1"/>
        <v>480</v>
      </c>
      <c r="J10" s="92">
        <v>20</v>
      </c>
      <c r="K10" s="91">
        <f t="shared" ref="K10:K19" si="3">G10*J10</f>
        <v>3200</v>
      </c>
      <c r="L10" s="93">
        <f>K10*30863/60-H10*O7</f>
        <v>1392718.6666666667</v>
      </c>
      <c r="N10" s="17"/>
      <c r="O10" s="18"/>
      <c r="P10" s="18"/>
      <c r="Q10" s="22"/>
      <c r="T10" s="11"/>
      <c r="U10" s="11"/>
      <c r="V10" s="11"/>
      <c r="W10" s="12"/>
    </row>
    <row r="11" spans="1:23" x14ac:dyDescent="0.3">
      <c r="A11" s="90" t="s">
        <v>25</v>
      </c>
      <c r="B11" s="91" t="s">
        <v>33</v>
      </c>
      <c r="C11" s="92">
        <v>134</v>
      </c>
      <c r="D11" s="91"/>
      <c r="E11" s="92">
        <v>1.5</v>
      </c>
      <c r="F11" s="92">
        <v>2</v>
      </c>
      <c r="G11" s="91">
        <v>100</v>
      </c>
      <c r="H11" s="91">
        <f t="shared" si="2"/>
        <v>836</v>
      </c>
      <c r="I11" s="91">
        <f t="shared" si="1"/>
        <v>300</v>
      </c>
      <c r="J11" s="92">
        <v>10</v>
      </c>
      <c r="K11" s="91">
        <f t="shared" si="3"/>
        <v>1000</v>
      </c>
      <c r="L11" s="93">
        <f>K11*30863/60-H11*O7</f>
        <v>235744.53333333333</v>
      </c>
      <c r="N11" s="17" t="s">
        <v>47</v>
      </c>
      <c r="O11" s="18">
        <f>H22</f>
        <v>7883</v>
      </c>
      <c r="P11" s="6" t="s">
        <v>13</v>
      </c>
      <c r="Q11" s="23">
        <f>O11/O4</f>
        <v>0.44536723163841807</v>
      </c>
      <c r="T11" s="11"/>
      <c r="U11" s="11"/>
      <c r="V11" s="11"/>
      <c r="W11" s="12"/>
    </row>
    <row r="12" spans="1:23" x14ac:dyDescent="0.3">
      <c r="A12" s="90" t="s">
        <v>26</v>
      </c>
      <c r="B12" s="92" t="s">
        <v>11</v>
      </c>
      <c r="C12" s="92">
        <v>60</v>
      </c>
      <c r="D12" s="91"/>
      <c r="E12" s="92">
        <v>1</v>
      </c>
      <c r="F12" s="92">
        <v>2</v>
      </c>
      <c r="G12" s="91">
        <v>100</v>
      </c>
      <c r="H12" s="91">
        <f t="shared" si="2"/>
        <v>440</v>
      </c>
      <c r="I12" s="91">
        <f t="shared" si="1"/>
        <v>200</v>
      </c>
      <c r="J12" s="92">
        <v>10</v>
      </c>
      <c r="K12" s="91">
        <f t="shared" si="3"/>
        <v>1000</v>
      </c>
      <c r="L12" s="93">
        <f>K12*30863/60-H12*O7</f>
        <v>367731.33333333331</v>
      </c>
      <c r="N12" s="17"/>
      <c r="O12" s="18"/>
      <c r="P12" s="6"/>
      <c r="Q12" s="23"/>
      <c r="T12" s="11"/>
      <c r="U12" s="11"/>
      <c r="V12" s="11"/>
      <c r="W12" s="12"/>
    </row>
    <row r="13" spans="1:23" x14ac:dyDescent="0.3">
      <c r="A13" s="90" t="s">
        <v>27</v>
      </c>
      <c r="B13" s="92" t="s">
        <v>12</v>
      </c>
      <c r="C13" s="92">
        <v>56</v>
      </c>
      <c r="D13" s="91">
        <v>0.75</v>
      </c>
      <c r="E13" s="92">
        <v>1</v>
      </c>
      <c r="F13" s="92">
        <v>2</v>
      </c>
      <c r="G13" s="91">
        <v>90</v>
      </c>
      <c r="H13" s="91">
        <f t="shared" si="2"/>
        <v>471.5</v>
      </c>
      <c r="I13" s="91">
        <f t="shared" si="1"/>
        <v>180</v>
      </c>
      <c r="J13" s="92">
        <v>20</v>
      </c>
      <c r="K13" s="91">
        <f t="shared" si="3"/>
        <v>1800</v>
      </c>
      <c r="L13" s="93">
        <f>K13*30863/60-H13*O7</f>
        <v>768739.05</v>
      </c>
      <c r="N13" s="17" t="s">
        <v>89</v>
      </c>
      <c r="O13" s="18">
        <f>+J22*2</f>
        <v>420</v>
      </c>
      <c r="P13" s="6"/>
      <c r="Q13" s="23"/>
      <c r="T13" s="11"/>
      <c r="U13" s="11"/>
      <c r="V13" s="11"/>
      <c r="W13" s="12"/>
    </row>
    <row r="14" spans="1:23" x14ac:dyDescent="0.3">
      <c r="A14" s="90" t="s">
        <v>28</v>
      </c>
      <c r="B14" s="92" t="s">
        <v>11</v>
      </c>
      <c r="C14" s="92">
        <v>54</v>
      </c>
      <c r="D14" s="91">
        <v>0.75</v>
      </c>
      <c r="E14" s="92">
        <v>1.5</v>
      </c>
      <c r="F14" s="92">
        <v>2</v>
      </c>
      <c r="G14" s="91">
        <v>90</v>
      </c>
      <c r="H14" s="91">
        <f t="shared" si="2"/>
        <v>553.5</v>
      </c>
      <c r="I14" s="91">
        <f t="shared" si="1"/>
        <v>270</v>
      </c>
      <c r="J14" s="92">
        <v>20</v>
      </c>
      <c r="K14" s="91">
        <f t="shared" si="3"/>
        <v>1800</v>
      </c>
      <c r="L14" s="93">
        <f>K14*30863/60-H14*O7</f>
        <v>741408.45</v>
      </c>
      <c r="N14" s="17"/>
      <c r="O14" s="18"/>
      <c r="P14" s="6"/>
      <c r="Q14" s="23"/>
      <c r="T14" s="11"/>
      <c r="U14" s="11"/>
      <c r="V14" s="11"/>
      <c r="W14" s="12"/>
    </row>
    <row r="15" spans="1:23" x14ac:dyDescent="0.3">
      <c r="A15" s="90" t="s">
        <v>29</v>
      </c>
      <c r="B15" s="92" t="s">
        <v>33</v>
      </c>
      <c r="C15" s="92">
        <v>48</v>
      </c>
      <c r="D15" s="91">
        <v>0.75</v>
      </c>
      <c r="E15" s="92">
        <v>1</v>
      </c>
      <c r="F15" s="92">
        <v>2</v>
      </c>
      <c r="G15" s="91">
        <v>90</v>
      </c>
      <c r="H15" s="91">
        <f t="shared" si="2"/>
        <v>439.5</v>
      </c>
      <c r="I15" s="91">
        <f t="shared" si="1"/>
        <v>180</v>
      </c>
      <c r="J15" s="92">
        <v>20</v>
      </c>
      <c r="K15" s="91">
        <f t="shared" si="3"/>
        <v>1800</v>
      </c>
      <c r="L15" s="93">
        <f>K15*30863/60-H15*O7</f>
        <v>779404.65</v>
      </c>
      <c r="N15" s="24" t="s">
        <v>49</v>
      </c>
      <c r="O15" s="25"/>
      <c r="P15" s="25"/>
      <c r="Q15" s="22"/>
      <c r="R15" s="25"/>
      <c r="S15" s="25"/>
      <c r="T15" s="11"/>
      <c r="U15" s="11"/>
      <c r="V15" s="11"/>
      <c r="W15" s="12"/>
    </row>
    <row r="16" spans="1:23" x14ac:dyDescent="0.3">
      <c r="A16" s="90" t="s">
        <v>30</v>
      </c>
      <c r="B16" s="92" t="s">
        <v>33</v>
      </c>
      <c r="C16" s="92">
        <v>32</v>
      </c>
      <c r="D16" s="91">
        <v>0.5</v>
      </c>
      <c r="E16" s="92">
        <v>1</v>
      </c>
      <c r="F16" s="92">
        <v>2</v>
      </c>
      <c r="G16" s="91">
        <v>80</v>
      </c>
      <c r="H16" s="91">
        <f t="shared" si="2"/>
        <v>328</v>
      </c>
      <c r="I16" s="91">
        <f t="shared" si="1"/>
        <v>160</v>
      </c>
      <c r="J16" s="92">
        <v>10</v>
      </c>
      <c r="K16" s="91">
        <f t="shared" si="3"/>
        <v>800</v>
      </c>
      <c r="L16" s="93">
        <f>K16*30863/60-H16*O7</f>
        <v>302184.26666666666</v>
      </c>
      <c r="N16" s="26" t="s">
        <v>48</v>
      </c>
      <c r="O16" s="25"/>
      <c r="P16" s="25"/>
      <c r="Q16" s="19">
        <f>(O11+O13)/847</f>
        <v>9.8028335301062572</v>
      </c>
    </row>
    <row r="17" spans="1:24" x14ac:dyDescent="0.3">
      <c r="A17" s="90" t="s">
        <v>31</v>
      </c>
      <c r="B17" s="92" t="s">
        <v>12</v>
      </c>
      <c r="C17" s="92">
        <v>52</v>
      </c>
      <c r="D17" s="91">
        <v>0.5</v>
      </c>
      <c r="E17" s="92">
        <v>1.5</v>
      </c>
      <c r="F17" s="92">
        <v>2</v>
      </c>
      <c r="G17" s="91">
        <v>25</v>
      </c>
      <c r="H17" s="91">
        <f t="shared" si="2"/>
        <v>295.5</v>
      </c>
      <c r="I17" s="91">
        <f t="shared" si="1"/>
        <v>75</v>
      </c>
      <c r="J17" s="92">
        <v>20</v>
      </c>
      <c r="K17" s="91">
        <f t="shared" si="3"/>
        <v>500</v>
      </c>
      <c r="L17" s="93">
        <f>K17*30863/60-H17*O7</f>
        <v>158701.51666666666</v>
      </c>
      <c r="N17" s="26" t="s">
        <v>88</v>
      </c>
      <c r="O17" s="25"/>
      <c r="P17" s="25"/>
      <c r="Q17" s="19"/>
    </row>
    <row r="18" spans="1:24" x14ac:dyDescent="0.3">
      <c r="A18" s="90" t="s">
        <v>41</v>
      </c>
      <c r="B18" s="92" t="s">
        <v>11</v>
      </c>
      <c r="C18" s="92">
        <v>52</v>
      </c>
      <c r="D18" s="91">
        <v>0.5</v>
      </c>
      <c r="E18" s="92">
        <v>1.5</v>
      </c>
      <c r="F18" s="92">
        <v>2</v>
      </c>
      <c r="G18" s="91">
        <v>30</v>
      </c>
      <c r="H18" s="91">
        <f t="shared" si="2"/>
        <v>313</v>
      </c>
      <c r="I18" s="91">
        <f t="shared" si="1"/>
        <v>90</v>
      </c>
      <c r="J18" s="92">
        <v>20</v>
      </c>
      <c r="K18" s="91">
        <f t="shared" si="3"/>
        <v>600</v>
      </c>
      <c r="L18" s="93">
        <f>K18*30863/60-H18*O7</f>
        <v>204307.09999999998</v>
      </c>
      <c r="N18" s="26"/>
      <c r="O18" s="27"/>
      <c r="P18" s="6" t="s">
        <v>14</v>
      </c>
      <c r="Q18" s="28">
        <f>Q4*29000</f>
        <v>8555000</v>
      </c>
    </row>
    <row r="19" spans="1:24" s="30" customFormat="1" x14ac:dyDescent="0.3">
      <c r="A19" s="90" t="s">
        <v>32</v>
      </c>
      <c r="B19" s="92" t="s">
        <v>12</v>
      </c>
      <c r="C19" s="92">
        <v>40</v>
      </c>
      <c r="D19" s="91">
        <v>0.5</v>
      </c>
      <c r="E19" s="92">
        <v>1.5</v>
      </c>
      <c r="F19" s="92">
        <v>2</v>
      </c>
      <c r="G19" s="91">
        <v>40</v>
      </c>
      <c r="H19" s="91">
        <f t="shared" si="2"/>
        <v>300</v>
      </c>
      <c r="I19" s="91">
        <f t="shared" si="1"/>
        <v>120</v>
      </c>
      <c r="J19" s="92">
        <v>20</v>
      </c>
      <c r="K19" s="91">
        <f t="shared" si="3"/>
        <v>800</v>
      </c>
      <c r="L19" s="93">
        <f>K19*30863/60-H19*O7</f>
        <v>311516.66666666669</v>
      </c>
      <c r="M19" s="29"/>
      <c r="N19" s="26" t="s">
        <v>184</v>
      </c>
      <c r="O19" s="27"/>
      <c r="P19" s="6" t="s">
        <v>188</v>
      </c>
      <c r="Q19" s="165">
        <f>(H13+H14+H15+H16)/847</f>
        <v>2.11629279811098</v>
      </c>
    </row>
    <row r="20" spans="1:24" x14ac:dyDescent="0.3">
      <c r="A20" s="90" t="s">
        <v>38</v>
      </c>
      <c r="B20" s="92" t="s">
        <v>11</v>
      </c>
      <c r="C20" s="92">
        <v>40</v>
      </c>
      <c r="D20" s="91">
        <v>0.5</v>
      </c>
      <c r="E20" s="92">
        <v>1.5</v>
      </c>
      <c r="F20" s="92">
        <v>2</v>
      </c>
      <c r="G20" s="91">
        <v>40</v>
      </c>
      <c r="H20" s="91">
        <f t="shared" si="2"/>
        <v>300</v>
      </c>
      <c r="I20" s="91">
        <f t="shared" si="1"/>
        <v>120</v>
      </c>
      <c r="J20" s="92">
        <v>20</v>
      </c>
      <c r="K20" s="91">
        <f>G20*J20</f>
        <v>800</v>
      </c>
      <c r="L20" s="93">
        <f>K20*30863/60-H20*O7</f>
        <v>311516.66666666669</v>
      </c>
      <c r="N20" s="26" t="s">
        <v>185</v>
      </c>
      <c r="O20" s="27"/>
      <c r="P20" s="6" t="s">
        <v>188</v>
      </c>
      <c r="Q20" s="165">
        <f>(H17+H18)/847</f>
        <v>0.71841794569067297</v>
      </c>
    </row>
    <row r="21" spans="1:24" x14ac:dyDescent="0.3">
      <c r="A21" s="90" t="s">
        <v>39</v>
      </c>
      <c r="B21" s="92" t="s">
        <v>11</v>
      </c>
      <c r="C21" s="92">
        <v>64</v>
      </c>
      <c r="D21" s="91">
        <v>1.5</v>
      </c>
      <c r="E21" s="92">
        <v>3.5</v>
      </c>
      <c r="F21" s="92">
        <v>2</v>
      </c>
      <c r="G21" s="91">
        <v>100</v>
      </c>
      <c r="H21" s="91">
        <f>C21*4+D21*G21+E21*(F21)*G21</f>
        <v>1106</v>
      </c>
      <c r="I21" s="91">
        <f t="shared" si="1"/>
        <v>700</v>
      </c>
      <c r="J21" s="92">
        <v>30</v>
      </c>
      <c r="K21" s="91">
        <f>G21*J21</f>
        <v>3000</v>
      </c>
      <c r="L21" s="93">
        <f>K21*30863/60-H21*O7</f>
        <v>1174520.2</v>
      </c>
      <c r="N21" s="26" t="s">
        <v>186</v>
      </c>
      <c r="O21" s="27"/>
      <c r="P21" s="6" t="s">
        <v>188</v>
      </c>
      <c r="Q21" s="165">
        <f>(H19)/847</f>
        <v>0.35419126328217237</v>
      </c>
    </row>
    <row r="22" spans="1:24" ht="13.5" thickBot="1" x14ac:dyDescent="0.35">
      <c r="A22" s="33" t="s">
        <v>15</v>
      </c>
      <c r="B22" s="34"/>
      <c r="C22" s="35">
        <f>SUM(C6:C20)*4</f>
        <v>4168</v>
      </c>
      <c r="D22" s="34"/>
      <c r="E22" s="35"/>
      <c r="F22" s="34"/>
      <c r="G22" s="34">
        <f t="shared" ref="G22:L22" si="4">SUM(G6:G20)</f>
        <v>1665</v>
      </c>
      <c r="H22" s="34">
        <f t="shared" si="4"/>
        <v>7883</v>
      </c>
      <c r="I22" s="34">
        <f t="shared" si="4"/>
        <v>2715</v>
      </c>
      <c r="J22" s="34">
        <f t="shared" si="4"/>
        <v>210</v>
      </c>
      <c r="K22" s="34">
        <f t="shared" si="4"/>
        <v>17700</v>
      </c>
      <c r="L22" s="88">
        <f t="shared" si="4"/>
        <v>6477181.1000000006</v>
      </c>
      <c r="N22" s="36" t="s">
        <v>187</v>
      </c>
      <c r="O22" s="37"/>
      <c r="P22" s="41" t="s">
        <v>188</v>
      </c>
      <c r="Q22" s="166">
        <f>(H20)/847</f>
        <v>0.35419126328217237</v>
      </c>
    </row>
    <row r="23" spans="1:24" ht="13.5" thickBot="1" x14ac:dyDescent="0.35">
      <c r="A23" s="13" t="s">
        <v>16</v>
      </c>
      <c r="B23" s="14"/>
      <c r="C23" s="14"/>
      <c r="D23" s="14"/>
      <c r="E23" s="14"/>
      <c r="F23" s="14"/>
      <c r="G23" s="14"/>
      <c r="H23" s="14"/>
      <c r="I23" s="14"/>
      <c r="J23" s="14"/>
      <c r="K23" s="14"/>
      <c r="L23" s="15"/>
      <c r="Q23" s="166"/>
    </row>
    <row r="24" spans="1:24" x14ac:dyDescent="0.3">
      <c r="A24" s="13"/>
      <c r="B24" s="14"/>
      <c r="C24" s="14"/>
      <c r="D24" s="14"/>
      <c r="E24" s="14"/>
      <c r="F24" s="14"/>
      <c r="G24" s="14"/>
      <c r="H24" s="14"/>
      <c r="I24" s="14"/>
      <c r="J24" s="14"/>
      <c r="K24" s="14"/>
      <c r="L24" s="15"/>
    </row>
    <row r="25" spans="1:24" x14ac:dyDescent="0.3">
      <c r="A25" s="13"/>
      <c r="B25" s="14"/>
      <c r="C25" s="14"/>
      <c r="D25" s="14"/>
      <c r="E25" s="14"/>
      <c r="F25" s="14"/>
      <c r="G25" s="14"/>
      <c r="H25" s="14"/>
      <c r="I25" s="14"/>
      <c r="J25" s="14"/>
      <c r="K25" s="14"/>
      <c r="L25" s="15"/>
    </row>
    <row r="26" spans="1:24" x14ac:dyDescent="0.3">
      <c r="A26" s="13"/>
      <c r="B26" s="14"/>
      <c r="C26" s="14"/>
      <c r="D26" s="14"/>
      <c r="E26" s="14"/>
      <c r="F26" s="14"/>
      <c r="G26" s="14"/>
      <c r="H26" s="14"/>
      <c r="I26" s="14"/>
      <c r="J26" s="14"/>
      <c r="K26" s="14"/>
      <c r="L26" s="15"/>
    </row>
    <row r="27" spans="1:24" ht="13.5" thickBot="1" x14ac:dyDescent="0.35">
      <c r="A27" s="40" t="s">
        <v>17</v>
      </c>
      <c r="B27" s="41" t="s">
        <v>18</v>
      </c>
      <c r="C27" s="41">
        <v>76</v>
      </c>
      <c r="D27" s="42">
        <f>1+1+1</f>
        <v>3</v>
      </c>
      <c r="E27" s="42">
        <v>1</v>
      </c>
      <c r="F27" s="42">
        <v>2</v>
      </c>
      <c r="G27" s="42">
        <v>30</v>
      </c>
      <c r="H27" s="18">
        <f>C27*4+D27*G27+E27*(F27*2)*G27</f>
        <v>514</v>
      </c>
      <c r="I27" s="18">
        <f>F27*G27*E27</f>
        <v>60</v>
      </c>
      <c r="J27" s="42">
        <v>30</v>
      </c>
      <c r="K27" s="42">
        <f>G27*J27</f>
        <v>900</v>
      </c>
      <c r="L27" s="43">
        <f>K27*29000/60-H27*305.1</f>
        <v>278178.59999999998</v>
      </c>
      <c r="N27" s="30"/>
    </row>
    <row r="28" spans="1:24" x14ac:dyDescent="0.3">
      <c r="A28" s="20"/>
      <c r="B28" s="6"/>
      <c r="C28" s="6"/>
      <c r="D28" s="18"/>
      <c r="E28" s="18"/>
      <c r="F28" s="18"/>
      <c r="G28" s="18"/>
      <c r="H28" s="18"/>
      <c r="I28" s="18"/>
      <c r="J28" s="18"/>
      <c r="K28" s="18"/>
      <c r="L28" s="21"/>
      <c r="N28" s="30"/>
    </row>
    <row r="29" spans="1:24" x14ac:dyDescent="0.3">
      <c r="A29" s="20"/>
      <c r="B29" s="6"/>
      <c r="C29" s="6"/>
      <c r="D29" s="18"/>
      <c r="E29" s="18"/>
      <c r="F29" s="18"/>
      <c r="G29" s="18"/>
      <c r="H29" s="18"/>
      <c r="I29" s="18"/>
      <c r="J29" s="18"/>
      <c r="K29" s="18"/>
      <c r="L29" s="21"/>
      <c r="N29" s="30"/>
    </row>
    <row r="30" spans="1:24" ht="13.5" thickBot="1" x14ac:dyDescent="0.35">
      <c r="A30" s="20"/>
      <c r="B30" s="6"/>
      <c r="C30" s="6"/>
      <c r="D30" s="18"/>
      <c r="E30" s="18"/>
      <c r="F30" s="18"/>
      <c r="G30" s="18"/>
      <c r="H30" s="18"/>
      <c r="I30" s="18"/>
      <c r="J30" s="18"/>
      <c r="K30" s="18"/>
      <c r="L30" s="21"/>
      <c r="N30" s="30"/>
    </row>
    <row r="31" spans="1:24" ht="13.5" thickBot="1" x14ac:dyDescent="0.35">
      <c r="A31" s="168"/>
      <c r="B31" s="169"/>
      <c r="C31" s="169"/>
      <c r="D31" s="169"/>
      <c r="E31" s="169"/>
      <c r="F31" s="169"/>
      <c r="G31" s="169"/>
      <c r="H31" s="169"/>
      <c r="I31" s="169"/>
      <c r="J31" s="169"/>
      <c r="K31" s="169"/>
      <c r="L31" s="170"/>
    </row>
    <row r="32" spans="1:24" s="30" customFormat="1" x14ac:dyDescent="0.3">
      <c r="A32" s="3"/>
      <c r="B32" s="4"/>
      <c r="C32" s="4"/>
      <c r="D32" s="4"/>
      <c r="E32" s="4"/>
      <c r="F32" s="4"/>
      <c r="G32" s="4"/>
      <c r="H32" s="4"/>
      <c r="I32" s="4"/>
      <c r="J32" s="4"/>
      <c r="K32" s="4"/>
      <c r="L32" s="5"/>
      <c r="M32" s="29"/>
      <c r="N32" s="44" t="s">
        <v>19</v>
      </c>
      <c r="O32" s="8"/>
      <c r="P32" s="8"/>
      <c r="Q32" s="8"/>
      <c r="R32" s="45"/>
      <c r="S32" s="6"/>
      <c r="T32" s="6"/>
      <c r="U32" s="6"/>
      <c r="V32" s="6"/>
      <c r="W32" s="6"/>
      <c r="X32" s="46"/>
    </row>
    <row r="33" spans="1:24" x14ac:dyDescent="0.3">
      <c r="A33" s="13"/>
      <c r="B33" s="14"/>
      <c r="C33" s="14"/>
      <c r="D33" s="14"/>
      <c r="E33" s="14"/>
      <c r="F33" s="14"/>
      <c r="G33" s="14"/>
      <c r="H33" s="14"/>
      <c r="I33" s="14"/>
      <c r="J33" s="14"/>
      <c r="K33" s="14"/>
      <c r="L33" s="15"/>
      <c r="N33" s="17" t="s">
        <v>20</v>
      </c>
      <c r="O33" s="18"/>
      <c r="P33" s="18"/>
      <c r="Q33" s="18"/>
      <c r="R33" s="22"/>
      <c r="S33" s="18"/>
      <c r="T33" s="18"/>
      <c r="U33" s="18"/>
      <c r="V33" s="18"/>
      <c r="W33" s="18"/>
      <c r="X33" s="47"/>
    </row>
    <row r="34" spans="1:24" x14ac:dyDescent="0.3">
      <c r="A34" s="20"/>
      <c r="B34" s="18"/>
      <c r="C34" s="6"/>
      <c r="D34" s="18"/>
      <c r="E34" s="6"/>
      <c r="F34" s="18"/>
      <c r="G34" s="18"/>
      <c r="H34" s="18"/>
      <c r="I34" s="18"/>
      <c r="J34" s="6"/>
      <c r="K34" s="18"/>
      <c r="L34" s="21"/>
      <c r="N34" s="17" t="s">
        <v>40</v>
      </c>
      <c r="O34" s="18"/>
      <c r="P34" s="18"/>
      <c r="Q34" s="18"/>
      <c r="R34" s="22"/>
      <c r="S34" s="18"/>
      <c r="T34" s="18"/>
      <c r="U34" s="18"/>
      <c r="V34" s="18"/>
      <c r="W34" s="18"/>
      <c r="X34" s="47"/>
    </row>
    <row r="35" spans="1:24" x14ac:dyDescent="0.3">
      <c r="A35" s="20"/>
      <c r="B35" s="18"/>
      <c r="C35" s="6"/>
      <c r="D35" s="18"/>
      <c r="E35" s="6"/>
      <c r="F35" s="18"/>
      <c r="G35" s="18"/>
      <c r="H35" s="18"/>
      <c r="I35" s="18"/>
      <c r="J35" s="6"/>
      <c r="K35" s="18"/>
      <c r="L35" s="21"/>
      <c r="N35" s="24" t="s">
        <v>21</v>
      </c>
      <c r="O35" s="18"/>
      <c r="P35" s="18"/>
      <c r="Q35" s="18"/>
      <c r="R35" s="22"/>
      <c r="S35" s="18"/>
      <c r="T35" s="18"/>
      <c r="U35" s="18"/>
      <c r="V35" s="18"/>
      <c r="W35" s="18"/>
      <c r="X35" s="47"/>
    </row>
    <row r="36" spans="1:24" x14ac:dyDescent="0.3">
      <c r="A36" s="20"/>
      <c r="B36" s="18"/>
      <c r="C36" s="6"/>
      <c r="D36" s="18"/>
      <c r="E36" s="6"/>
      <c r="F36" s="18"/>
      <c r="G36" s="18"/>
      <c r="H36" s="18"/>
      <c r="I36" s="18"/>
      <c r="J36" s="6"/>
      <c r="K36" s="18"/>
      <c r="L36" s="21"/>
      <c r="N36" s="17" t="s">
        <v>182</v>
      </c>
      <c r="O36" s="18"/>
      <c r="P36" s="18"/>
      <c r="Q36" s="18"/>
      <c r="R36" s="22"/>
      <c r="S36" s="18"/>
      <c r="T36" s="18"/>
      <c r="U36" s="18"/>
      <c r="V36" s="18"/>
      <c r="W36" s="18"/>
      <c r="X36" s="47"/>
    </row>
    <row r="37" spans="1:24" x14ac:dyDescent="0.3">
      <c r="A37" s="20"/>
      <c r="B37" s="18"/>
      <c r="C37" s="6"/>
      <c r="D37" s="18"/>
      <c r="E37" s="6"/>
      <c r="F37" s="18"/>
      <c r="G37" s="18"/>
      <c r="H37" s="18"/>
      <c r="I37" s="18"/>
      <c r="J37" s="6"/>
      <c r="K37" s="18"/>
      <c r="L37" s="21"/>
      <c r="N37" s="17" t="s">
        <v>90</v>
      </c>
      <c r="O37" s="18"/>
      <c r="P37" s="18"/>
      <c r="Q37" s="18"/>
      <c r="R37" s="22"/>
      <c r="S37" s="18"/>
      <c r="T37" s="18"/>
      <c r="U37" s="18"/>
      <c r="V37" s="18"/>
      <c r="W37" s="18"/>
      <c r="X37" s="47"/>
    </row>
    <row r="38" spans="1:24" x14ac:dyDescent="0.3">
      <c r="A38" s="20"/>
      <c r="B38" s="18"/>
      <c r="C38" s="6"/>
      <c r="D38" s="18"/>
      <c r="E38" s="6"/>
      <c r="F38" s="18"/>
      <c r="G38" s="18"/>
      <c r="H38" s="18"/>
      <c r="I38" s="18"/>
      <c r="J38" s="6"/>
      <c r="K38" s="18"/>
      <c r="L38" s="21"/>
      <c r="N38" s="60" t="s">
        <v>183</v>
      </c>
      <c r="O38" s="18"/>
      <c r="P38" s="18"/>
      <c r="Q38" s="18"/>
      <c r="R38" s="22"/>
      <c r="S38" s="18"/>
      <c r="T38" s="18"/>
      <c r="U38" s="18"/>
      <c r="V38" s="18"/>
      <c r="W38" s="18"/>
      <c r="X38" s="47"/>
    </row>
    <row r="39" spans="1:24" x14ac:dyDescent="0.3">
      <c r="A39" s="20"/>
      <c r="B39" s="18"/>
      <c r="C39" s="6"/>
      <c r="D39" s="18"/>
      <c r="E39" s="6"/>
      <c r="F39" s="18"/>
      <c r="G39" s="18"/>
      <c r="H39" s="18"/>
      <c r="I39" s="18"/>
      <c r="J39" s="6"/>
      <c r="K39" s="18"/>
      <c r="L39" s="21"/>
      <c r="N39" s="61"/>
      <c r="O39" s="18"/>
      <c r="P39" s="18"/>
      <c r="Q39" s="18"/>
      <c r="R39" s="22"/>
      <c r="S39" s="18"/>
      <c r="T39" s="18"/>
      <c r="U39" s="18"/>
      <c r="V39" s="18"/>
      <c r="W39" s="18"/>
      <c r="X39" s="47"/>
    </row>
    <row r="40" spans="1:24" x14ac:dyDescent="0.3">
      <c r="A40" s="20"/>
      <c r="B40" s="6"/>
      <c r="C40" s="6"/>
      <c r="D40" s="18"/>
      <c r="E40" s="6"/>
      <c r="F40" s="18"/>
      <c r="G40" s="18"/>
      <c r="H40" s="18"/>
      <c r="I40" s="18"/>
      <c r="J40" s="6"/>
      <c r="K40" s="18"/>
      <c r="L40" s="21"/>
      <c r="N40" s="61" t="s">
        <v>43</v>
      </c>
      <c r="O40" s="18"/>
      <c r="P40" s="18"/>
      <c r="Q40" s="18"/>
      <c r="R40" s="22"/>
      <c r="S40" s="18"/>
      <c r="T40" s="18"/>
      <c r="U40" s="18"/>
      <c r="V40" s="18"/>
      <c r="W40" s="18"/>
      <c r="X40" s="47"/>
    </row>
    <row r="41" spans="1:24" s="30" customFormat="1" x14ac:dyDescent="0.3">
      <c r="A41" s="20"/>
      <c r="B41" s="18"/>
      <c r="C41" s="6"/>
      <c r="D41" s="18"/>
      <c r="E41" s="6"/>
      <c r="F41" s="6"/>
      <c r="G41" s="18"/>
      <c r="H41" s="18"/>
      <c r="I41" s="18"/>
      <c r="J41" s="6"/>
      <c r="K41" s="18"/>
      <c r="L41" s="21"/>
      <c r="M41" s="29"/>
      <c r="N41" s="62" t="s">
        <v>98</v>
      </c>
      <c r="O41" s="25"/>
      <c r="P41" s="25"/>
      <c r="Q41" s="25"/>
      <c r="R41" s="31"/>
      <c r="S41" s="25"/>
      <c r="T41" s="25"/>
      <c r="U41" s="25"/>
      <c r="V41" s="25"/>
      <c r="W41" s="25"/>
      <c r="X41" s="25"/>
    </row>
    <row r="42" spans="1:24" ht="13.5" thickBot="1" x14ac:dyDescent="0.35">
      <c r="A42" s="20"/>
      <c r="B42" s="6"/>
      <c r="C42" s="6"/>
      <c r="D42" s="18"/>
      <c r="E42" s="6"/>
      <c r="F42" s="6"/>
      <c r="G42" s="18"/>
      <c r="H42" s="18"/>
      <c r="I42" s="18"/>
      <c r="J42" s="6"/>
      <c r="K42" s="18"/>
      <c r="L42" s="21"/>
      <c r="N42" s="63"/>
      <c r="O42" s="42"/>
      <c r="P42" s="42"/>
      <c r="Q42" s="42"/>
      <c r="R42" s="48"/>
      <c r="S42" s="18"/>
      <c r="T42" s="18"/>
      <c r="U42" s="18"/>
      <c r="V42" s="18"/>
      <c r="W42" s="18"/>
      <c r="X42" s="47"/>
    </row>
    <row r="43" spans="1:24" x14ac:dyDescent="0.3">
      <c r="A43" s="20"/>
      <c r="B43" s="6"/>
      <c r="C43" s="6"/>
      <c r="D43" s="18"/>
      <c r="E43" s="6"/>
      <c r="F43" s="6"/>
      <c r="G43" s="18"/>
      <c r="H43" s="18"/>
      <c r="I43" s="18"/>
      <c r="J43" s="6"/>
      <c r="K43" s="18"/>
      <c r="L43" s="21"/>
      <c r="N43" s="49"/>
      <c r="O43" s="6"/>
      <c r="P43" s="6"/>
      <c r="Q43" s="6"/>
      <c r="R43" s="18"/>
      <c r="S43" s="18"/>
      <c r="T43" s="18"/>
      <c r="U43" s="18"/>
      <c r="V43" s="18"/>
      <c r="W43" s="18"/>
      <c r="X43" s="47"/>
    </row>
    <row r="44" spans="1:24" x14ac:dyDescent="0.3">
      <c r="A44" s="20"/>
      <c r="B44" s="6"/>
      <c r="C44" s="6"/>
      <c r="D44" s="18"/>
      <c r="E44" s="6"/>
      <c r="F44" s="6"/>
      <c r="G44" s="18"/>
      <c r="H44" s="18"/>
      <c r="I44" s="18"/>
      <c r="J44" s="6"/>
      <c r="K44" s="18"/>
      <c r="L44" s="21"/>
      <c r="N44" s="50"/>
      <c r="O44" s="18"/>
      <c r="P44" s="18"/>
      <c r="Q44" s="18"/>
      <c r="R44" s="18"/>
      <c r="S44" s="18"/>
      <c r="T44" s="18"/>
      <c r="U44" s="18"/>
      <c r="V44" s="18"/>
      <c r="W44" s="18"/>
      <c r="X44" s="47"/>
    </row>
    <row r="45" spans="1:24" x14ac:dyDescent="0.3">
      <c r="A45" s="20"/>
      <c r="B45" s="6"/>
      <c r="C45" s="6"/>
      <c r="D45" s="18"/>
      <c r="E45" s="6"/>
      <c r="F45" s="6"/>
      <c r="G45" s="18"/>
      <c r="H45" s="18"/>
      <c r="I45" s="18"/>
      <c r="J45" s="6"/>
      <c r="K45" s="18"/>
      <c r="L45" s="21"/>
      <c r="N45" s="50"/>
      <c r="O45" s="18"/>
      <c r="P45" s="18"/>
      <c r="Q45" s="18"/>
      <c r="R45" s="18"/>
      <c r="S45" s="18"/>
      <c r="T45" s="18"/>
      <c r="U45" s="18"/>
      <c r="V45" s="51"/>
      <c r="W45" s="51"/>
      <c r="X45" s="52"/>
    </row>
    <row r="46" spans="1:24" s="30" customFormat="1" x14ac:dyDescent="0.3">
      <c r="A46" s="20"/>
      <c r="B46" s="6"/>
      <c r="C46" s="6"/>
      <c r="D46" s="18"/>
      <c r="E46" s="6"/>
      <c r="F46" s="6"/>
      <c r="G46" s="18"/>
      <c r="H46" s="18"/>
      <c r="I46" s="18"/>
      <c r="J46" s="6"/>
      <c r="K46" s="18"/>
      <c r="L46" s="21"/>
      <c r="M46" s="29"/>
      <c r="N46" s="53"/>
      <c r="O46" s="25"/>
      <c r="P46" s="25"/>
      <c r="Q46" s="25"/>
      <c r="R46" s="18"/>
      <c r="S46" s="18"/>
      <c r="T46" s="18"/>
      <c r="U46" s="18"/>
      <c r="V46" s="51"/>
      <c r="W46" s="51"/>
      <c r="X46" s="52"/>
    </row>
    <row r="47" spans="1:24" x14ac:dyDescent="0.3">
      <c r="A47" s="20"/>
      <c r="B47" s="6"/>
      <c r="C47" s="6"/>
      <c r="D47" s="18"/>
      <c r="E47" s="6"/>
      <c r="F47" s="6"/>
      <c r="G47" s="18"/>
      <c r="H47" s="18"/>
      <c r="I47" s="18"/>
      <c r="J47" s="6"/>
      <c r="K47" s="18"/>
      <c r="L47" s="21"/>
      <c r="N47" s="54"/>
      <c r="O47" s="25"/>
      <c r="P47" s="25"/>
      <c r="Q47" s="25"/>
      <c r="R47" s="25"/>
      <c r="S47" s="25"/>
      <c r="T47" s="25"/>
      <c r="U47" s="25"/>
    </row>
    <row r="48" spans="1:24" x14ac:dyDescent="0.3">
      <c r="A48" s="20"/>
      <c r="B48" s="6"/>
      <c r="C48" s="6"/>
      <c r="D48" s="18"/>
      <c r="E48" s="6"/>
      <c r="F48" s="6"/>
      <c r="G48" s="18"/>
      <c r="H48" s="18"/>
      <c r="I48" s="18"/>
      <c r="J48" s="6"/>
      <c r="K48" s="18"/>
      <c r="L48" s="21"/>
      <c r="R48" s="30"/>
      <c r="S48" s="30"/>
      <c r="T48" s="30"/>
      <c r="U48" s="30"/>
      <c r="V48" s="30"/>
      <c r="W48" s="30"/>
      <c r="X48" s="30"/>
    </row>
    <row r="49" spans="1:24" x14ac:dyDescent="0.3">
      <c r="A49" s="20"/>
      <c r="B49" s="6"/>
      <c r="C49" s="6"/>
      <c r="D49" s="18"/>
      <c r="E49" s="6"/>
      <c r="F49" s="6"/>
      <c r="G49" s="18"/>
      <c r="H49" s="18"/>
      <c r="I49" s="18"/>
      <c r="J49" s="6"/>
      <c r="K49" s="18"/>
      <c r="L49" s="21"/>
    </row>
    <row r="50" spans="1:24" x14ac:dyDescent="0.3">
      <c r="A50" s="20"/>
      <c r="B50" s="6"/>
      <c r="C50" s="6"/>
      <c r="D50" s="18"/>
      <c r="E50" s="6"/>
      <c r="F50" s="6"/>
      <c r="G50" s="18"/>
      <c r="H50" s="18"/>
      <c r="I50" s="18"/>
      <c r="J50" s="6"/>
      <c r="K50" s="18"/>
      <c r="L50" s="21"/>
      <c r="N50" s="30"/>
      <c r="O50" s="30"/>
      <c r="P50" s="30"/>
      <c r="Q50" s="55"/>
      <c r="R50" s="30"/>
      <c r="S50" s="30"/>
      <c r="T50" s="30"/>
      <c r="U50" s="30"/>
      <c r="V50" s="30"/>
      <c r="W50" s="30"/>
      <c r="X50" s="30"/>
    </row>
    <row r="51" spans="1:24" x14ac:dyDescent="0.3">
      <c r="A51" s="20"/>
      <c r="B51" s="6"/>
      <c r="C51" s="6"/>
      <c r="D51" s="18"/>
      <c r="E51" s="6"/>
      <c r="F51" s="6"/>
      <c r="G51" s="18"/>
      <c r="H51" s="18"/>
      <c r="I51" s="18"/>
      <c r="J51" s="6"/>
      <c r="K51" s="18"/>
      <c r="L51" s="21"/>
    </row>
    <row r="52" spans="1:24" x14ac:dyDescent="0.3">
      <c r="A52" s="20"/>
      <c r="B52" s="6"/>
      <c r="C52" s="6"/>
      <c r="D52" s="18"/>
      <c r="E52" s="6"/>
      <c r="F52" s="6"/>
      <c r="G52" s="18"/>
      <c r="H52" s="18"/>
      <c r="I52" s="18"/>
      <c r="J52" s="6"/>
      <c r="K52" s="18"/>
      <c r="L52" s="21"/>
    </row>
    <row r="53" spans="1:24" x14ac:dyDescent="0.3">
      <c r="A53" s="20"/>
      <c r="B53" s="6"/>
      <c r="C53" s="6"/>
      <c r="D53" s="18"/>
      <c r="E53" s="6"/>
      <c r="F53" s="6"/>
      <c r="G53" s="18"/>
      <c r="H53" s="18"/>
      <c r="I53" s="18"/>
      <c r="J53" s="6"/>
      <c r="K53" s="18"/>
      <c r="L53" s="21"/>
      <c r="N53" s="6"/>
      <c r="O53" s="32"/>
    </row>
    <row r="54" spans="1:24" x14ac:dyDescent="0.3">
      <c r="A54" s="20"/>
      <c r="B54" s="6"/>
      <c r="C54" s="6"/>
      <c r="D54" s="18"/>
      <c r="E54" s="6"/>
      <c r="F54" s="6"/>
      <c r="G54" s="18"/>
      <c r="H54" s="18"/>
      <c r="I54" s="18"/>
      <c r="J54" s="6"/>
      <c r="K54" s="18"/>
      <c r="L54" s="21"/>
    </row>
    <row r="55" spans="1:24" x14ac:dyDescent="0.3">
      <c r="A55" s="20"/>
      <c r="B55" s="6"/>
      <c r="C55" s="6"/>
      <c r="D55" s="18"/>
      <c r="E55" s="6"/>
      <c r="F55" s="6"/>
      <c r="G55" s="18"/>
      <c r="H55" s="18"/>
      <c r="I55" s="18"/>
      <c r="J55" s="6"/>
      <c r="K55" s="18"/>
      <c r="L55" s="21"/>
    </row>
    <row r="56" spans="1:24" x14ac:dyDescent="0.3">
      <c r="A56" s="20"/>
      <c r="B56" s="6"/>
      <c r="C56" s="6"/>
      <c r="D56" s="18"/>
      <c r="E56" s="6"/>
      <c r="F56" s="6"/>
      <c r="G56" s="18"/>
      <c r="H56" s="18"/>
      <c r="I56" s="18"/>
      <c r="J56" s="6"/>
      <c r="K56" s="18"/>
      <c r="L56" s="21"/>
    </row>
    <row r="57" spans="1:24" x14ac:dyDescent="0.3">
      <c r="A57" s="33"/>
      <c r="B57" s="34"/>
      <c r="C57" s="35"/>
      <c r="D57" s="34"/>
      <c r="E57" s="35"/>
      <c r="F57" s="34"/>
      <c r="G57" s="34"/>
      <c r="H57" s="34"/>
      <c r="I57" s="34"/>
      <c r="J57" s="34"/>
      <c r="K57" s="34"/>
      <c r="L57" s="21"/>
    </row>
    <row r="58" spans="1:24" x14ac:dyDescent="0.3">
      <c r="A58" s="13"/>
      <c r="B58" s="14"/>
      <c r="C58" s="14"/>
      <c r="D58" s="14"/>
      <c r="E58" s="14"/>
      <c r="F58" s="14"/>
      <c r="G58" s="14"/>
      <c r="H58" s="14"/>
      <c r="I58" s="14"/>
      <c r="J58" s="14"/>
      <c r="K58" s="14"/>
      <c r="L58" s="15"/>
    </row>
    <row r="59" spans="1:24" ht="13.5" thickBot="1" x14ac:dyDescent="0.35">
      <c r="A59" s="40"/>
      <c r="B59" s="41"/>
      <c r="C59" s="41"/>
      <c r="D59" s="42"/>
      <c r="E59" s="42"/>
      <c r="F59" s="42"/>
      <c r="G59" s="42"/>
      <c r="H59" s="42"/>
      <c r="I59" s="42"/>
      <c r="J59" s="42"/>
      <c r="K59" s="42"/>
      <c r="L59" s="43"/>
    </row>
    <row r="61" spans="1:24" x14ac:dyDescent="0.3">
      <c r="E61" s="51" t="s">
        <v>22</v>
      </c>
    </row>
    <row r="65" spans="1:15" x14ac:dyDescent="0.3">
      <c r="O65" s="57"/>
    </row>
    <row r="68" spans="1:15" s="30" customFormat="1" x14ac:dyDescent="0.3">
      <c r="A68" s="56"/>
      <c r="B68" s="51"/>
      <c r="C68" s="51"/>
      <c r="D68" s="51"/>
      <c r="E68" s="51"/>
      <c r="F68" s="51"/>
      <c r="G68" s="51"/>
      <c r="H68" s="51"/>
      <c r="I68" s="51"/>
      <c r="J68" s="51"/>
      <c r="K68" s="51"/>
      <c r="L68" s="52"/>
      <c r="M68" s="29"/>
    </row>
    <row r="76" spans="1:15" x14ac:dyDescent="0.3">
      <c r="M76" s="2"/>
    </row>
    <row r="77" spans="1:15" x14ac:dyDescent="0.3">
      <c r="M77" s="2"/>
    </row>
    <row r="78" spans="1:15" x14ac:dyDescent="0.3">
      <c r="M78" s="2"/>
    </row>
    <row r="79" spans="1:15" x14ac:dyDescent="0.3">
      <c r="M79" s="2"/>
    </row>
    <row r="80" spans="1:15" x14ac:dyDescent="0.3">
      <c r="M80" s="2"/>
    </row>
    <row r="81" spans="1:13" x14ac:dyDescent="0.3">
      <c r="M81" s="2"/>
    </row>
    <row r="82" spans="1:13" x14ac:dyDescent="0.3">
      <c r="M82" s="2"/>
    </row>
    <row r="83" spans="1:13" x14ac:dyDescent="0.3">
      <c r="M83" s="2"/>
    </row>
    <row r="84" spans="1:13" x14ac:dyDescent="0.3">
      <c r="M84" s="2"/>
    </row>
    <row r="85" spans="1:13" x14ac:dyDescent="0.3">
      <c r="M85" s="2"/>
    </row>
    <row r="86" spans="1:13" x14ac:dyDescent="0.3">
      <c r="M86" s="2"/>
    </row>
    <row r="87" spans="1:13" x14ac:dyDescent="0.3">
      <c r="M87" s="2"/>
    </row>
    <row r="88" spans="1:13" x14ac:dyDescent="0.3">
      <c r="M88" s="2"/>
    </row>
    <row r="89" spans="1:13" x14ac:dyDescent="0.3">
      <c r="M89" s="2"/>
    </row>
    <row r="90" spans="1:13" x14ac:dyDescent="0.3">
      <c r="M90" s="2"/>
    </row>
    <row r="91" spans="1:13" x14ac:dyDescent="0.3">
      <c r="M91" s="2"/>
    </row>
    <row r="93" spans="1:13" s="30" customFormat="1" x14ac:dyDescent="0.3">
      <c r="A93" s="56"/>
      <c r="B93" s="51"/>
      <c r="C93" s="51"/>
      <c r="D93" s="51"/>
      <c r="E93" s="51"/>
      <c r="F93" s="51"/>
      <c r="G93" s="51"/>
      <c r="H93" s="51"/>
      <c r="I93" s="51"/>
      <c r="J93" s="51"/>
      <c r="K93" s="51"/>
      <c r="L93" s="52"/>
      <c r="M93" s="29"/>
    </row>
    <row r="104" spans="13:13" x14ac:dyDescent="0.3">
      <c r="M104" s="58"/>
    </row>
  </sheetData>
  <mergeCells count="2">
    <mergeCell ref="A2:L2"/>
    <mergeCell ref="A31:L31"/>
  </mergeCells>
  <conditionalFormatting sqref="L27:L30">
    <cfRule type="cellIs" dxfId="166" priority="29" operator="lessThan">
      <formula>0</formula>
    </cfRule>
  </conditionalFormatting>
  <conditionalFormatting sqref="L59 L38:L55">
    <cfRule type="cellIs" dxfId="165" priority="28" operator="lessThan">
      <formula>0</formula>
    </cfRule>
  </conditionalFormatting>
  <conditionalFormatting sqref="L34:L35 L37">
    <cfRule type="cellIs" dxfId="164" priority="27" operator="lessThan">
      <formula>0</formula>
    </cfRule>
  </conditionalFormatting>
  <conditionalFormatting sqref="L36">
    <cfRule type="cellIs" dxfId="163" priority="26" operator="lessThan">
      <formula>0</formula>
    </cfRule>
  </conditionalFormatting>
  <conditionalFormatting sqref="L56">
    <cfRule type="cellIs" dxfId="162" priority="23" operator="lessThan">
      <formula>0</formula>
    </cfRule>
  </conditionalFormatting>
  <conditionalFormatting sqref="L6">
    <cfRule type="cellIs" dxfId="161" priority="18" operator="lessThan">
      <formula>0</formula>
    </cfRule>
  </conditionalFormatting>
  <conditionalFormatting sqref="L7">
    <cfRule type="cellIs" dxfId="160" priority="17" operator="lessThan">
      <formula>0</formula>
    </cfRule>
  </conditionalFormatting>
  <conditionalFormatting sqref="L8">
    <cfRule type="cellIs" dxfId="159" priority="16" operator="lessThan">
      <formula>0</formula>
    </cfRule>
  </conditionalFormatting>
  <conditionalFormatting sqref="L9">
    <cfRule type="cellIs" dxfId="158" priority="15" operator="lessThan">
      <formula>0</formula>
    </cfRule>
  </conditionalFormatting>
  <conditionalFormatting sqref="L10">
    <cfRule type="cellIs" dxfId="157" priority="14" operator="lessThan">
      <formula>0</formula>
    </cfRule>
  </conditionalFormatting>
  <conditionalFormatting sqref="L11">
    <cfRule type="cellIs" dxfId="156" priority="13" operator="lessThan">
      <formula>0</formula>
    </cfRule>
  </conditionalFormatting>
  <conditionalFormatting sqref="L12">
    <cfRule type="cellIs" dxfId="155" priority="12" operator="lessThan">
      <formula>0</formula>
    </cfRule>
  </conditionalFormatting>
  <conditionalFormatting sqref="L13">
    <cfRule type="cellIs" dxfId="154" priority="11" operator="lessThan">
      <formula>0</formula>
    </cfRule>
  </conditionalFormatting>
  <conditionalFormatting sqref="L14">
    <cfRule type="cellIs" dxfId="153" priority="10" operator="lessThan">
      <formula>0</formula>
    </cfRule>
  </conditionalFormatting>
  <conditionalFormatting sqref="L15">
    <cfRule type="cellIs" dxfId="152" priority="9" operator="lessThan">
      <formula>0</formula>
    </cfRule>
  </conditionalFormatting>
  <conditionalFormatting sqref="L16">
    <cfRule type="cellIs" dxfId="151" priority="8" operator="lessThan">
      <formula>0</formula>
    </cfRule>
  </conditionalFormatting>
  <conditionalFormatting sqref="L17">
    <cfRule type="cellIs" dxfId="150" priority="7" operator="lessThan">
      <formula>0</formula>
    </cfRule>
  </conditionalFormatting>
  <conditionalFormatting sqref="L18">
    <cfRule type="cellIs" dxfId="149" priority="6" operator="lessThan">
      <formula>0</formula>
    </cfRule>
  </conditionalFormatting>
  <conditionalFormatting sqref="L19">
    <cfRule type="cellIs" dxfId="148" priority="5" operator="lessThan">
      <formula>0</formula>
    </cfRule>
  </conditionalFormatting>
  <conditionalFormatting sqref="L20">
    <cfRule type="cellIs" dxfId="147" priority="4" operator="lessThan">
      <formula>0</formula>
    </cfRule>
  </conditionalFormatting>
  <conditionalFormatting sqref="L21">
    <cfRule type="cellIs" dxfId="146" priority="3" operator="lessThan">
      <formula>0</formula>
    </cfRule>
  </conditionalFormatting>
  <conditionalFormatting sqref="L5">
    <cfRule type="cellIs" dxfId="145" priority="1" operator="lessThan">
      <formula>0</formula>
    </cfRule>
  </conditionalFormatting>
  <hyperlinks>
    <hyperlink ref="A27" display="PED1360 - Flerkulturell pedagogikk - Videreutdanning (30 studiepoeng)"/>
  </hyperlinks>
  <pageMargins left="0.70866141732283472" right="0.70866141732283472" top="0.74803149606299213" bottom="0.74803149606299213" header="0.31496062992125984" footer="0.31496062992125984"/>
  <pageSetup paperSize="9" scale="64" fitToWidth="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9"/>
  <sheetViews>
    <sheetView topLeftCell="A29" zoomScale="80" zoomScaleNormal="80" workbookViewId="0">
      <selection activeCell="C42" sqref="C42"/>
    </sheetView>
  </sheetViews>
  <sheetFormatPr baseColWidth="10" defaultColWidth="9.1796875" defaultRowHeight="13" x14ac:dyDescent="0.3"/>
  <cols>
    <col min="1" max="1" width="41.81640625" style="56" customWidth="1"/>
    <col min="2" max="2" width="10.81640625" style="51" customWidth="1"/>
    <col min="3" max="3" width="10.7265625" style="51" customWidth="1"/>
    <col min="4" max="4" width="12.54296875" style="51" customWidth="1"/>
    <col min="5" max="5" width="11.26953125" style="51" customWidth="1"/>
    <col min="6" max="6" width="9.7265625" style="51" customWidth="1"/>
    <col min="7" max="7" width="10" style="51" customWidth="1"/>
    <col min="8" max="9" width="14.1796875" style="51" customWidth="1"/>
    <col min="10" max="10" width="5.7265625" style="51" customWidth="1"/>
    <col min="11" max="11" width="9.7265625" style="51" customWidth="1"/>
    <col min="12" max="12" width="12.54296875" style="52" bestFit="1" customWidth="1"/>
    <col min="13" max="13" width="13.7265625" style="1" customWidth="1"/>
    <col min="14" max="14" width="36.81640625" style="2" customWidth="1"/>
    <col min="15" max="15" width="10.1796875" style="2" customWidth="1"/>
    <col min="16" max="16" width="30" style="2" customWidth="1"/>
    <col min="17" max="17" width="9.81640625" style="2" bestFit="1" customWidth="1"/>
    <col min="18" max="18" width="27.26953125" style="2" bestFit="1" customWidth="1"/>
    <col min="19" max="19" width="19.81640625" style="2" customWidth="1"/>
    <col min="20" max="20" width="18.1796875" style="2" customWidth="1"/>
    <col min="21" max="23" width="9.1796875" style="2"/>
    <col min="24" max="24" width="50.54296875" style="2" customWidth="1"/>
    <col min="25" max="16384" width="9.1796875" style="2"/>
  </cols>
  <sheetData>
    <row r="1" spans="1:23" ht="13.5" thickBot="1" x14ac:dyDescent="0.35">
      <c r="A1" s="56" t="s">
        <v>35</v>
      </c>
    </row>
    <row r="2" spans="1:23" ht="13.5" thickBot="1" x14ac:dyDescent="0.35">
      <c r="A2" s="168" t="s">
        <v>50</v>
      </c>
      <c r="B2" s="169"/>
      <c r="C2" s="169"/>
      <c r="D2" s="169"/>
      <c r="E2" s="169"/>
      <c r="F2" s="169"/>
      <c r="G2" s="169"/>
      <c r="H2" s="169"/>
      <c r="I2" s="169"/>
      <c r="J2" s="169"/>
      <c r="K2" s="169"/>
      <c r="L2" s="170"/>
    </row>
    <row r="3" spans="1:23" x14ac:dyDescent="0.3">
      <c r="A3" s="3" t="s">
        <v>0</v>
      </c>
      <c r="B3" s="4" t="s">
        <v>1</v>
      </c>
      <c r="C3" s="4" t="s">
        <v>2</v>
      </c>
      <c r="D3" s="4" t="s">
        <v>44</v>
      </c>
      <c r="E3" s="59" t="s">
        <v>45</v>
      </c>
      <c r="F3" s="4" t="s">
        <v>3</v>
      </c>
      <c r="G3" s="4" t="s">
        <v>4</v>
      </c>
      <c r="H3" s="4" t="s">
        <v>5</v>
      </c>
      <c r="I3" s="4" t="s">
        <v>46</v>
      </c>
      <c r="J3" s="4" t="s">
        <v>6</v>
      </c>
      <c r="K3" s="4" t="s">
        <v>7</v>
      </c>
      <c r="L3" s="5" t="s">
        <v>8</v>
      </c>
      <c r="M3" s="6"/>
      <c r="N3" s="7" t="s">
        <v>9</v>
      </c>
      <c r="O3" s="8"/>
      <c r="P3" s="9"/>
      <c r="Q3" s="10"/>
      <c r="T3" s="11"/>
      <c r="U3" s="11"/>
      <c r="V3" s="11"/>
      <c r="W3" s="12"/>
    </row>
    <row r="4" spans="1:23" x14ac:dyDescent="0.3">
      <c r="A4" s="13"/>
      <c r="B4" s="14"/>
      <c r="C4" s="14"/>
      <c r="D4" s="14"/>
      <c r="E4" s="14"/>
      <c r="F4" s="14"/>
      <c r="G4" s="14"/>
      <c r="H4" s="14"/>
      <c r="I4" s="14"/>
      <c r="J4" s="14"/>
      <c r="K4" s="14"/>
      <c r="L4" s="15"/>
      <c r="M4" s="16"/>
      <c r="N4" s="97" t="s">
        <v>105</v>
      </c>
      <c r="O4" s="91">
        <f>(K23)</f>
        <v>2400</v>
      </c>
      <c r="P4" s="91" t="s">
        <v>106</v>
      </c>
      <c r="Q4" s="101">
        <f>(O4/60)/2</f>
        <v>20</v>
      </c>
      <c r="T4" s="11"/>
      <c r="U4" s="11"/>
      <c r="V4" s="11"/>
      <c r="W4" s="12"/>
    </row>
    <row r="5" spans="1:23" x14ac:dyDescent="0.3">
      <c r="A5" s="90" t="s">
        <v>51</v>
      </c>
      <c r="B5" s="91" t="s">
        <v>33</v>
      </c>
      <c r="C5" s="92">
        <v>28</v>
      </c>
      <c r="D5" s="91"/>
      <c r="E5" s="92">
        <v>1</v>
      </c>
      <c r="F5" s="91">
        <v>2</v>
      </c>
      <c r="G5" s="91">
        <f>G29</f>
        <v>20</v>
      </c>
      <c r="H5" s="91">
        <f>(C5*4+D5*G5+E5*(F5)*G5)</f>
        <v>152</v>
      </c>
      <c r="I5" s="91">
        <f t="shared" ref="I5:I22" si="0">F5*G5*E5</f>
        <v>40</v>
      </c>
      <c r="J5" s="92">
        <v>15</v>
      </c>
      <c r="K5" s="91">
        <f t="shared" ref="K5:K12" si="1">G5*J5</f>
        <v>300</v>
      </c>
      <c r="L5" s="93">
        <f>K5*44907/60-H5*O6</f>
        <v>173873.4</v>
      </c>
      <c r="N5" s="97"/>
      <c r="O5" s="91"/>
      <c r="P5" s="91"/>
      <c r="Q5" s="101"/>
      <c r="T5" s="11"/>
      <c r="U5" s="11"/>
      <c r="V5" s="11"/>
      <c r="W5" s="12"/>
    </row>
    <row r="6" spans="1:23" x14ac:dyDescent="0.3">
      <c r="A6" s="90" t="s">
        <v>52</v>
      </c>
      <c r="B6" s="91" t="s">
        <v>33</v>
      </c>
      <c r="C6" s="92">
        <v>19</v>
      </c>
      <c r="D6" s="91"/>
      <c r="E6" s="92"/>
      <c r="F6" s="91"/>
      <c r="G6" s="91"/>
      <c r="H6" s="91">
        <f>(C6*4+D6*G6+E6*(F6)*G6)</f>
        <v>76</v>
      </c>
      <c r="I6" s="91">
        <f t="shared" si="0"/>
        <v>0</v>
      </c>
      <c r="J6" s="92"/>
      <c r="K6" s="91">
        <f t="shared" si="1"/>
        <v>0</v>
      </c>
      <c r="L6" s="93">
        <f>K6*44907/60-H6*O6</f>
        <v>-25330.799999999999</v>
      </c>
      <c r="N6" s="97" t="s">
        <v>130</v>
      </c>
      <c r="O6" s="91">
        <v>333.3</v>
      </c>
      <c r="P6" s="91"/>
      <c r="Q6" s="101"/>
      <c r="T6" s="11"/>
      <c r="U6" s="11"/>
      <c r="V6" s="11"/>
      <c r="W6" s="12"/>
    </row>
    <row r="7" spans="1:23" x14ac:dyDescent="0.3">
      <c r="A7" s="97" t="s">
        <v>99</v>
      </c>
      <c r="B7" s="91" t="s">
        <v>33</v>
      </c>
      <c r="C7" s="91">
        <v>12</v>
      </c>
      <c r="D7" s="91"/>
      <c r="E7" s="91"/>
      <c r="F7" s="91"/>
      <c r="G7" s="91"/>
      <c r="H7" s="91">
        <f>(C7*1+D7*G7+E7*(F7)*G7)</f>
        <v>12</v>
      </c>
      <c r="I7" s="91">
        <f t="shared" si="0"/>
        <v>0</v>
      </c>
      <c r="J7" s="91"/>
      <c r="K7" s="91">
        <f t="shared" si="1"/>
        <v>0</v>
      </c>
      <c r="L7" s="93">
        <f>K7*44907/60-H7*O6</f>
        <v>-3999.6000000000004</v>
      </c>
      <c r="N7" s="97"/>
      <c r="O7" s="91"/>
      <c r="P7" s="91"/>
      <c r="Q7" s="101"/>
      <c r="T7" s="11"/>
      <c r="U7" s="11"/>
      <c r="V7" s="11"/>
      <c r="W7" s="12"/>
    </row>
    <row r="8" spans="1:23" x14ac:dyDescent="0.3">
      <c r="A8" s="90" t="s">
        <v>53</v>
      </c>
      <c r="B8" s="91" t="s">
        <v>34</v>
      </c>
      <c r="C8" s="92">
        <v>48</v>
      </c>
      <c r="D8" s="91">
        <v>0.5</v>
      </c>
      <c r="E8" s="92">
        <v>1.5</v>
      </c>
      <c r="F8" s="91">
        <v>2</v>
      </c>
      <c r="G8" s="91">
        <f>G29</f>
        <v>20</v>
      </c>
      <c r="H8" s="91">
        <f>(C8*4+D8*G8+E8*(F8)*G8)</f>
        <v>262</v>
      </c>
      <c r="I8" s="91">
        <f>(F8*G8*E8)</f>
        <v>60</v>
      </c>
      <c r="J8" s="92">
        <v>20</v>
      </c>
      <c r="K8" s="91">
        <f t="shared" si="1"/>
        <v>400</v>
      </c>
      <c r="L8" s="93">
        <f>K8*44907/60-H8*O6</f>
        <v>212055.4</v>
      </c>
      <c r="N8" s="97"/>
      <c r="O8" s="91"/>
      <c r="P8" s="91"/>
      <c r="Q8" s="101"/>
      <c r="T8" s="11"/>
      <c r="U8" s="11"/>
      <c r="V8" s="11"/>
      <c r="W8" s="12"/>
    </row>
    <row r="9" spans="1:23" x14ac:dyDescent="0.3">
      <c r="A9" s="90" t="s">
        <v>112</v>
      </c>
      <c r="B9" s="91" t="s">
        <v>34</v>
      </c>
      <c r="C9" s="92">
        <v>20</v>
      </c>
      <c r="D9" s="91"/>
      <c r="E9" s="92"/>
      <c r="F9" s="91"/>
      <c r="G9" s="91">
        <f>G29</f>
        <v>20</v>
      </c>
      <c r="H9" s="91">
        <f>(C9*1+D9*G9+E9*(F9)*G9)</f>
        <v>20</v>
      </c>
      <c r="I9" s="91">
        <f>(F9*G9*E9)</f>
        <v>0</v>
      </c>
      <c r="J9" s="92"/>
      <c r="K9" s="91">
        <f t="shared" ref="K9" si="2">G9*J9</f>
        <v>0</v>
      </c>
      <c r="L9" s="93">
        <f>K9*44907/60-H9*O6</f>
        <v>-6666</v>
      </c>
      <c r="N9" s="97"/>
      <c r="O9" s="91"/>
      <c r="P9" s="91"/>
      <c r="Q9" s="101"/>
      <c r="T9" s="11"/>
      <c r="U9" s="11"/>
      <c r="V9" s="11"/>
      <c r="W9" s="12"/>
    </row>
    <row r="10" spans="1:23" x14ac:dyDescent="0.3">
      <c r="A10" s="90" t="s">
        <v>54</v>
      </c>
      <c r="B10" s="91" t="s">
        <v>34</v>
      </c>
      <c r="C10" s="92">
        <v>20</v>
      </c>
      <c r="D10" s="91"/>
      <c r="E10" s="92">
        <v>1</v>
      </c>
      <c r="F10" s="91">
        <v>1</v>
      </c>
      <c r="G10" s="91">
        <f>G29</f>
        <v>20</v>
      </c>
      <c r="H10" s="91">
        <f>(C10*4+D10*G10+E10*(F10)*G10)</f>
        <v>100</v>
      </c>
      <c r="I10" s="91">
        <f>(F10*G10*E10)</f>
        <v>20</v>
      </c>
      <c r="J10" s="92">
        <v>5</v>
      </c>
      <c r="K10" s="91">
        <f>G10*J10</f>
        <v>100</v>
      </c>
      <c r="L10" s="93">
        <f>K10*44907/60-H10*O6</f>
        <v>41515</v>
      </c>
      <c r="N10" s="97"/>
      <c r="O10" s="91"/>
      <c r="P10" s="91"/>
      <c r="Q10" s="101"/>
      <c r="T10" s="11"/>
      <c r="U10" s="11"/>
      <c r="V10" s="11"/>
      <c r="W10" s="12"/>
    </row>
    <row r="11" spans="1:23" x14ac:dyDescent="0.3">
      <c r="A11" s="90" t="s">
        <v>55</v>
      </c>
      <c r="B11" s="91" t="s">
        <v>33</v>
      </c>
      <c r="C11" s="92">
        <v>26</v>
      </c>
      <c r="D11" s="91"/>
      <c r="E11" s="92">
        <v>1.5</v>
      </c>
      <c r="F11" s="91">
        <v>2</v>
      </c>
      <c r="G11" s="91">
        <f>G29</f>
        <v>20</v>
      </c>
      <c r="H11" s="91">
        <f t="shared" ref="H11" si="3">C11*4+D11*G11+E11*(F11)*G11</f>
        <v>164</v>
      </c>
      <c r="I11" s="91">
        <f t="shared" ref="I11:I12" si="4">F11*G11*E11</f>
        <v>60</v>
      </c>
      <c r="J11" s="92">
        <v>15</v>
      </c>
      <c r="K11" s="91">
        <f t="shared" si="1"/>
        <v>300</v>
      </c>
      <c r="L11" s="93">
        <f>K11*44907/60-H11*O6</f>
        <v>169873.8</v>
      </c>
      <c r="N11" s="97"/>
      <c r="O11" s="91"/>
      <c r="P11" s="91"/>
      <c r="Q11" s="91"/>
      <c r="T11" s="11"/>
      <c r="U11" s="11"/>
      <c r="V11" s="11"/>
      <c r="W11" s="12"/>
    </row>
    <row r="12" spans="1:23" x14ac:dyDescent="0.3">
      <c r="A12" s="90" t="s">
        <v>63</v>
      </c>
      <c r="B12" s="92" t="s">
        <v>33</v>
      </c>
      <c r="C12" s="92">
        <v>8</v>
      </c>
      <c r="D12" s="91"/>
      <c r="E12" s="92"/>
      <c r="F12" s="91"/>
      <c r="G12" s="91"/>
      <c r="H12" s="91">
        <f>(C12*4+D12*G12+E12*(F12)*G12)</f>
        <v>32</v>
      </c>
      <c r="I12" s="91">
        <f t="shared" si="4"/>
        <v>0</v>
      </c>
      <c r="J12" s="92"/>
      <c r="K12" s="91">
        <f t="shared" si="1"/>
        <v>0</v>
      </c>
      <c r="L12" s="93">
        <f>K12*44907/60-H12*O6</f>
        <v>-10665.6</v>
      </c>
      <c r="N12" s="97" t="s">
        <v>107</v>
      </c>
      <c r="O12" s="91">
        <f>(H23)</f>
        <v>2298</v>
      </c>
      <c r="P12" s="92" t="s">
        <v>13</v>
      </c>
      <c r="Q12" s="102">
        <f>O12/O4</f>
        <v>0.95750000000000002</v>
      </c>
      <c r="T12" s="11"/>
      <c r="U12" s="11"/>
      <c r="V12" s="11"/>
      <c r="W12" s="12"/>
    </row>
    <row r="13" spans="1:23" x14ac:dyDescent="0.3">
      <c r="N13" s="97"/>
      <c r="O13" s="91"/>
      <c r="P13" s="92"/>
      <c r="Q13" s="102"/>
      <c r="T13" s="11"/>
      <c r="U13" s="11"/>
      <c r="V13" s="11"/>
      <c r="W13" s="12"/>
    </row>
    <row r="14" spans="1:23" x14ac:dyDescent="0.3">
      <c r="A14" s="2" t="s">
        <v>139</v>
      </c>
      <c r="B14" s="91" t="s">
        <v>34</v>
      </c>
      <c r="C14" s="92">
        <v>18</v>
      </c>
      <c r="D14" s="91"/>
      <c r="E14" s="92"/>
      <c r="F14" s="92"/>
      <c r="G14" s="91">
        <f>G29</f>
        <v>20</v>
      </c>
      <c r="H14" s="91">
        <f>(C14*4+D14*G14+E14*(F14)*G14)</f>
        <v>72</v>
      </c>
      <c r="I14" s="91">
        <f>F14*G14*E14</f>
        <v>0</v>
      </c>
      <c r="J14" s="2">
        <v>0</v>
      </c>
      <c r="K14" s="91">
        <f>G14*J14</f>
        <v>0</v>
      </c>
      <c r="L14" s="93">
        <f>(K14*44907/60)-(H14*O6)</f>
        <v>-23997.600000000002</v>
      </c>
      <c r="N14" s="97" t="s">
        <v>147</v>
      </c>
      <c r="O14" s="91">
        <f>C19+C20+C21</f>
        <v>320</v>
      </c>
      <c r="P14" s="92"/>
      <c r="Q14" s="102"/>
      <c r="T14" s="11"/>
      <c r="U14" s="11"/>
      <c r="V14" s="11"/>
      <c r="W14" s="12"/>
    </row>
    <row r="15" spans="1:23" x14ac:dyDescent="0.3">
      <c r="A15" s="2"/>
      <c r="B15" s="2"/>
      <c r="C15" s="2"/>
      <c r="D15" s="2"/>
      <c r="E15" s="2"/>
      <c r="F15" s="2"/>
      <c r="G15" s="2"/>
      <c r="H15" s="2"/>
      <c r="I15" s="2"/>
      <c r="J15" s="2"/>
      <c r="K15" s="2"/>
      <c r="L15" s="2"/>
      <c r="N15" s="97"/>
      <c r="O15" s="91"/>
      <c r="P15" s="92"/>
      <c r="Q15" s="102"/>
      <c r="T15" s="11"/>
      <c r="U15" s="11"/>
      <c r="V15" s="11"/>
      <c r="W15" s="12"/>
    </row>
    <row r="16" spans="1:23" x14ac:dyDescent="0.3">
      <c r="A16" s="90" t="s">
        <v>62</v>
      </c>
      <c r="B16" s="92" t="s">
        <v>33</v>
      </c>
      <c r="C16" s="92">
        <v>12</v>
      </c>
      <c r="D16" s="91"/>
      <c r="E16" s="92">
        <v>0.5</v>
      </c>
      <c r="F16" s="92">
        <v>1</v>
      </c>
      <c r="G16" s="91">
        <f>G29</f>
        <v>20</v>
      </c>
      <c r="H16" s="91">
        <f>C16*4+D16*G16+E16*(F16)*G16</f>
        <v>58</v>
      </c>
      <c r="I16" s="91">
        <f t="shared" ref="I16:I21" si="5">F16*G16*E16</f>
        <v>10</v>
      </c>
      <c r="J16" s="92">
        <v>5</v>
      </c>
      <c r="K16" s="91">
        <f t="shared" ref="K16:K22" si="6">G16*J16</f>
        <v>100</v>
      </c>
      <c r="L16" s="93">
        <f>K16*44907/60-H16*O6</f>
        <v>55513.599999999999</v>
      </c>
      <c r="N16" s="94" t="s">
        <v>66</v>
      </c>
      <c r="O16" s="94"/>
      <c r="P16" s="94"/>
      <c r="Q16" s="91"/>
      <c r="R16" s="25"/>
      <c r="S16" s="25"/>
      <c r="T16" s="11"/>
      <c r="U16" s="11"/>
      <c r="V16" s="11"/>
      <c r="W16" s="12"/>
    </row>
    <row r="17" spans="1:24" x14ac:dyDescent="0.3">
      <c r="A17" s="90"/>
      <c r="B17" s="94"/>
      <c r="C17" s="92"/>
      <c r="D17" s="91"/>
      <c r="E17" s="92"/>
      <c r="F17" s="92"/>
      <c r="G17" s="91"/>
      <c r="H17" s="91">
        <f>C17*4+D17*G17+E17*(F17)*G17</f>
        <v>0</v>
      </c>
      <c r="I17" s="91">
        <f t="shared" si="5"/>
        <v>0</v>
      </c>
      <c r="J17" s="92"/>
      <c r="K17" s="91">
        <f t="shared" si="6"/>
        <v>0</v>
      </c>
      <c r="L17" s="93">
        <f>K17*44907/60-H17*O6</f>
        <v>0</v>
      </c>
      <c r="N17" s="96" t="s">
        <v>48</v>
      </c>
      <c r="O17" s="94"/>
      <c r="P17" s="94"/>
      <c r="Q17" s="102">
        <f>(H23)/847</f>
        <v>2.7131050767414404</v>
      </c>
    </row>
    <row r="18" spans="1:24" x14ac:dyDescent="0.3">
      <c r="A18" s="90" t="s">
        <v>113</v>
      </c>
      <c r="B18" s="91" t="s">
        <v>34</v>
      </c>
      <c r="C18" s="92">
        <f>G29*40</f>
        <v>800</v>
      </c>
      <c r="D18" s="91"/>
      <c r="E18" s="92">
        <v>11.5</v>
      </c>
      <c r="F18" s="92">
        <v>1</v>
      </c>
      <c r="G18" s="91">
        <f>G29</f>
        <v>20</v>
      </c>
      <c r="H18" s="91">
        <f>C18+D18*G18+E18*(F18)*G18</f>
        <v>1030</v>
      </c>
      <c r="I18" s="91">
        <f>F18*G18*E18</f>
        <v>230</v>
      </c>
      <c r="J18" s="92">
        <v>45</v>
      </c>
      <c r="K18" s="91">
        <f>G18*J18</f>
        <v>900</v>
      </c>
      <c r="L18" s="93">
        <f>K18*44907/60-H18*O6</f>
        <v>330306</v>
      </c>
      <c r="N18" s="96" t="s">
        <v>179</v>
      </c>
      <c r="O18" s="94"/>
      <c r="P18" s="94"/>
      <c r="Q18" s="101">
        <f>I18</f>
        <v>230</v>
      </c>
    </row>
    <row r="19" spans="1:24" x14ac:dyDescent="0.3">
      <c r="A19" s="90" t="s">
        <v>114</v>
      </c>
      <c r="B19" s="92"/>
      <c r="C19" s="92">
        <f>(J23-J18-15)*2</f>
        <v>120</v>
      </c>
      <c r="D19" s="91"/>
      <c r="E19" s="92"/>
      <c r="F19" s="92"/>
      <c r="G19" s="91"/>
      <c r="H19" s="91">
        <f>C19*1</f>
        <v>120</v>
      </c>
      <c r="I19" s="91">
        <f t="shared" si="5"/>
        <v>0</v>
      </c>
      <c r="J19" s="92"/>
      <c r="K19" s="91">
        <f t="shared" si="6"/>
        <v>0</v>
      </c>
      <c r="L19" s="93">
        <f>(K19*44907/60-H19*O6)</f>
        <v>-39996</v>
      </c>
      <c r="N19" s="96" t="s">
        <v>109</v>
      </c>
      <c r="O19" s="103">
        <v>44907</v>
      </c>
      <c r="P19" s="92" t="s">
        <v>108</v>
      </c>
      <c r="Q19" s="104">
        <f>(Q4*O19*2)</f>
        <v>1796280</v>
      </c>
    </row>
    <row r="20" spans="1:24" s="30" customFormat="1" x14ac:dyDescent="0.3">
      <c r="A20" s="90" t="s">
        <v>102</v>
      </c>
      <c r="B20" s="92"/>
      <c r="C20" s="92">
        <v>100</v>
      </c>
      <c r="D20" s="91"/>
      <c r="E20" s="92"/>
      <c r="F20" s="92"/>
      <c r="G20" s="91"/>
      <c r="H20" s="91">
        <f>C20*1</f>
        <v>100</v>
      </c>
      <c r="I20" s="91">
        <f t="shared" si="5"/>
        <v>0</v>
      </c>
      <c r="J20" s="92"/>
      <c r="K20" s="91">
        <f t="shared" si="6"/>
        <v>0</v>
      </c>
      <c r="L20" s="93">
        <f>(K20*44907/60-H20*O6)</f>
        <v>-33330</v>
      </c>
      <c r="M20" s="29"/>
      <c r="N20" s="95"/>
      <c r="O20" s="103"/>
      <c r="P20" s="92"/>
      <c r="Q20" s="104"/>
    </row>
    <row r="21" spans="1:24" x14ac:dyDescent="0.3">
      <c r="A21" s="90" t="s">
        <v>103</v>
      </c>
      <c r="B21" s="92"/>
      <c r="C21" s="92">
        <v>100</v>
      </c>
      <c r="D21" s="91"/>
      <c r="E21" s="92"/>
      <c r="F21" s="92"/>
      <c r="G21" s="91"/>
      <c r="H21" s="91">
        <f>C21*1</f>
        <v>100</v>
      </c>
      <c r="I21" s="91">
        <f t="shared" si="5"/>
        <v>0</v>
      </c>
      <c r="J21" s="92"/>
      <c r="K21" s="91">
        <f t="shared" si="6"/>
        <v>0</v>
      </c>
      <c r="L21" s="93">
        <f>(K21*44907/60-H21*O6)</f>
        <v>-33330</v>
      </c>
      <c r="N21" s="96" t="s">
        <v>111</v>
      </c>
      <c r="O21" s="103">
        <v>25344</v>
      </c>
      <c r="P21" s="92" t="s">
        <v>104</v>
      </c>
      <c r="Q21" s="104">
        <f>(Q4*25344)</f>
        <v>506880</v>
      </c>
    </row>
    <row r="22" spans="1:24" x14ac:dyDescent="0.3">
      <c r="A22" s="90"/>
      <c r="B22" s="92"/>
      <c r="C22" s="92"/>
      <c r="D22" s="91"/>
      <c r="E22" s="92"/>
      <c r="F22" s="92"/>
      <c r="G22" s="91"/>
      <c r="H22" s="91">
        <f t="shared" ref="H22" si="7">C22*4+D22*G22+E22*(F22)*G22</f>
        <v>0</v>
      </c>
      <c r="I22" s="91">
        <f t="shared" si="0"/>
        <v>0</v>
      </c>
      <c r="J22" s="92"/>
      <c r="K22" s="91">
        <f t="shared" si="6"/>
        <v>0</v>
      </c>
      <c r="L22" s="93">
        <f>K22*44907/60-H22*O6</f>
        <v>0</v>
      </c>
      <c r="N22" s="96" t="s">
        <v>165</v>
      </c>
      <c r="O22" s="103">
        <f>(O19*2)+O21</f>
        <v>115158</v>
      </c>
      <c r="P22" s="92"/>
      <c r="Q22" s="104"/>
    </row>
    <row r="23" spans="1:24" x14ac:dyDescent="0.3">
      <c r="A23" s="98" t="s">
        <v>15</v>
      </c>
      <c r="B23" s="99"/>
      <c r="C23" s="100">
        <f>SUM(C5:C21)</f>
        <v>1331</v>
      </c>
      <c r="D23" s="99"/>
      <c r="E23" s="100"/>
      <c r="F23" s="99"/>
      <c r="G23" s="99"/>
      <c r="H23" s="99">
        <f>SUM(H5:H21)</f>
        <v>2298</v>
      </c>
      <c r="I23" s="99">
        <f>SUM(I5:I21)</f>
        <v>420</v>
      </c>
      <c r="J23" s="99">
        <f>SUM(J5:J21)+15</f>
        <v>120</v>
      </c>
      <c r="K23" s="99">
        <f>SUM(K5:K21)+(15*G29)</f>
        <v>2400</v>
      </c>
      <c r="L23" s="105">
        <f>SUM(L5:L21)</f>
        <v>805821.6</v>
      </c>
      <c r="N23" s="96" t="s">
        <v>110</v>
      </c>
      <c r="O23" s="103"/>
      <c r="P23" s="94"/>
      <c r="Q23" s="104">
        <f>SUM(Q19:Q22)</f>
        <v>2303160</v>
      </c>
    </row>
    <row r="24" spans="1:24" x14ac:dyDescent="0.3">
      <c r="A24" s="13" t="s">
        <v>16</v>
      </c>
      <c r="B24" s="14"/>
      <c r="C24" s="14"/>
      <c r="D24" s="14"/>
      <c r="E24" s="14"/>
      <c r="F24" s="14"/>
      <c r="G24" s="14"/>
      <c r="H24" s="14"/>
      <c r="I24" s="14"/>
      <c r="J24" s="14"/>
      <c r="K24" s="14"/>
      <c r="L24" s="15"/>
    </row>
    <row r="25" spans="1:24" x14ac:dyDescent="0.3">
      <c r="A25" s="13"/>
      <c r="B25" s="14"/>
      <c r="C25" s="14"/>
      <c r="D25" s="14"/>
      <c r="E25" s="14"/>
      <c r="F25" s="14"/>
      <c r="G25" s="14"/>
      <c r="H25" s="14"/>
      <c r="I25" s="14"/>
      <c r="J25" s="14"/>
      <c r="K25" s="14"/>
      <c r="L25" s="15"/>
      <c r="N25" s="2" t="s">
        <v>140</v>
      </c>
    </row>
    <row r="26" spans="1:24" x14ac:dyDescent="0.3">
      <c r="A26" s="13"/>
      <c r="B26" s="14"/>
      <c r="C26" s="14"/>
      <c r="D26" s="14"/>
      <c r="E26" s="14"/>
      <c r="F26" s="14"/>
      <c r="G26" s="14"/>
      <c r="H26" s="14"/>
      <c r="I26" s="14"/>
      <c r="J26" s="14"/>
      <c r="K26" s="14"/>
      <c r="L26" s="15"/>
    </row>
    <row r="27" spans="1:24" x14ac:dyDescent="0.3">
      <c r="A27" s="13"/>
      <c r="B27" s="14"/>
      <c r="C27" s="14"/>
      <c r="D27" s="14"/>
      <c r="E27" s="14"/>
      <c r="F27" s="14"/>
      <c r="G27" s="14"/>
      <c r="H27" s="14"/>
      <c r="I27" s="14"/>
      <c r="J27" s="14"/>
      <c r="K27" s="14"/>
      <c r="L27" s="15"/>
      <c r="N27" s="167"/>
      <c r="O27" s="11"/>
      <c r="P27" s="11"/>
      <c r="Q27" s="11"/>
      <c r="R27" s="11"/>
    </row>
    <row r="28" spans="1:24" ht="13.5" thickBot="1" x14ac:dyDescent="0.35">
      <c r="A28" s="40"/>
      <c r="B28" s="41"/>
      <c r="C28" s="41"/>
      <c r="D28" s="42"/>
      <c r="E28" s="42"/>
      <c r="F28" s="42"/>
      <c r="G28" s="42"/>
      <c r="H28" s="18"/>
      <c r="I28" s="18"/>
      <c r="J28" s="42"/>
      <c r="K28" s="42"/>
      <c r="L28" s="43"/>
      <c r="N28" s="11"/>
      <c r="O28" s="11"/>
      <c r="P28" s="11"/>
      <c r="Q28" s="11"/>
      <c r="R28" s="11"/>
    </row>
    <row r="29" spans="1:24" x14ac:dyDescent="0.3">
      <c r="A29" s="64"/>
      <c r="B29" s="6"/>
      <c r="C29" s="6" t="s">
        <v>141</v>
      </c>
      <c r="D29" s="18"/>
      <c r="E29" s="18"/>
      <c r="F29" s="18"/>
      <c r="G29" s="18">
        <v>20</v>
      </c>
      <c r="H29" s="18"/>
      <c r="I29" s="18"/>
      <c r="J29" s="18"/>
      <c r="K29" s="18"/>
      <c r="L29" s="21"/>
      <c r="N29" s="178"/>
      <c r="O29" s="11"/>
      <c r="P29" s="11"/>
      <c r="Q29" s="11"/>
      <c r="R29" s="11"/>
    </row>
    <row r="30" spans="1:24" x14ac:dyDescent="0.3">
      <c r="A30" s="2"/>
      <c r="B30" s="2"/>
      <c r="C30" s="2"/>
      <c r="D30" s="2"/>
      <c r="E30" s="2"/>
      <c r="F30" s="2"/>
      <c r="G30" s="2"/>
      <c r="H30" s="18"/>
      <c r="I30" s="18"/>
      <c r="J30" s="18"/>
      <c r="K30" s="18"/>
      <c r="L30" s="65"/>
      <c r="N30" s="178"/>
      <c r="O30" s="11"/>
      <c r="P30" s="11"/>
      <c r="Q30" s="11"/>
      <c r="R30" s="11"/>
    </row>
    <row r="31" spans="1:24" x14ac:dyDescent="0.3">
      <c r="A31" s="64"/>
      <c r="B31" s="18" t="s">
        <v>22</v>
      </c>
      <c r="C31" s="6"/>
      <c r="D31" s="18"/>
      <c r="E31" s="6"/>
      <c r="F31" s="18"/>
      <c r="G31" s="18"/>
      <c r="H31" s="18"/>
      <c r="I31" s="18"/>
      <c r="J31" s="6"/>
      <c r="K31" s="18"/>
      <c r="L31" s="65"/>
      <c r="N31" s="178"/>
      <c r="O31" s="11"/>
      <c r="P31" s="11"/>
      <c r="Q31" s="11"/>
      <c r="R31" s="6"/>
      <c r="S31" s="18"/>
      <c r="T31" s="18"/>
      <c r="U31" s="18"/>
      <c r="V31" s="18"/>
      <c r="W31" s="18"/>
      <c r="X31" s="47"/>
    </row>
    <row r="32" spans="1:24" x14ac:dyDescent="0.3">
      <c r="A32" s="64"/>
      <c r="B32" s="18"/>
      <c r="C32" s="6"/>
      <c r="D32" s="18"/>
      <c r="E32" s="6"/>
      <c r="F32" s="18"/>
      <c r="G32" s="18"/>
      <c r="H32" s="18"/>
      <c r="I32" s="18"/>
      <c r="J32" s="6"/>
      <c r="K32" s="18"/>
      <c r="L32" s="65"/>
      <c r="N32" s="53"/>
      <c r="O32" s="6"/>
      <c r="P32" s="6"/>
      <c r="Q32" s="179"/>
      <c r="R32" s="6"/>
      <c r="S32" s="18"/>
      <c r="T32" s="18"/>
      <c r="U32" s="18"/>
      <c r="V32" s="18"/>
      <c r="W32" s="18"/>
      <c r="X32" s="47"/>
    </row>
    <row r="33" spans="1:24" ht="14.5" x14ac:dyDescent="0.35">
      <c r="A33" s="64"/>
      <c r="B33" s="18"/>
      <c r="C33" s="71" t="s">
        <v>19</v>
      </c>
      <c r="D33" s="80"/>
      <c r="E33" s="81"/>
      <c r="F33" s="81"/>
      <c r="G33" s="81"/>
      <c r="H33" s="81"/>
      <c r="I33" s="81"/>
      <c r="J33" s="81"/>
      <c r="K33" s="81"/>
      <c r="L33" s="82"/>
      <c r="N33" s="53"/>
      <c r="O33" s="6"/>
      <c r="P33" s="6"/>
      <c r="Q33" s="179"/>
      <c r="R33" s="6"/>
      <c r="S33" s="18"/>
      <c r="T33" s="18"/>
      <c r="U33" s="18"/>
      <c r="V33" s="18"/>
      <c r="W33" s="18"/>
      <c r="X33" s="47"/>
    </row>
    <row r="34" spans="1:24" x14ac:dyDescent="0.3">
      <c r="A34" s="64"/>
      <c r="B34" s="18"/>
      <c r="C34" s="171" t="s">
        <v>194</v>
      </c>
      <c r="D34" s="172"/>
      <c r="E34" s="173"/>
      <c r="F34" s="173"/>
      <c r="G34" s="173"/>
      <c r="H34" s="173"/>
      <c r="I34" s="173"/>
      <c r="J34" s="173"/>
      <c r="K34" s="173"/>
      <c r="L34" s="174"/>
      <c r="N34" s="11"/>
      <c r="O34" s="6"/>
      <c r="P34" s="6"/>
      <c r="Q34" s="179"/>
      <c r="R34" s="6"/>
      <c r="S34" s="18"/>
      <c r="T34" s="18"/>
      <c r="U34" s="18"/>
      <c r="V34" s="18"/>
      <c r="W34" s="18"/>
      <c r="X34" s="47"/>
    </row>
    <row r="35" spans="1:24" x14ac:dyDescent="0.3">
      <c r="A35" s="64"/>
      <c r="B35" s="6"/>
      <c r="C35" s="175"/>
      <c r="D35" s="173"/>
      <c r="E35" s="173"/>
      <c r="F35" s="173"/>
      <c r="G35" s="173"/>
      <c r="H35" s="173"/>
      <c r="I35" s="173"/>
      <c r="J35" s="173"/>
      <c r="K35" s="173"/>
      <c r="L35" s="174"/>
      <c r="N35" s="11"/>
      <c r="O35" s="6"/>
      <c r="P35" s="6"/>
      <c r="Q35" s="179"/>
      <c r="R35" s="6"/>
      <c r="S35" s="18"/>
      <c r="T35" s="18"/>
      <c r="U35" s="18"/>
      <c r="V35" s="18"/>
      <c r="W35" s="18"/>
      <c r="X35" s="47"/>
    </row>
    <row r="36" spans="1:24" s="30" customFormat="1" x14ac:dyDescent="0.3">
      <c r="A36" s="64"/>
      <c r="B36" s="18"/>
      <c r="C36" s="175"/>
      <c r="D36" s="173"/>
      <c r="E36" s="173"/>
      <c r="F36" s="173"/>
      <c r="G36" s="173"/>
      <c r="H36" s="173"/>
      <c r="I36" s="173"/>
      <c r="J36" s="173"/>
      <c r="K36" s="173"/>
      <c r="L36" s="174"/>
      <c r="M36" s="29"/>
      <c r="N36" s="11"/>
      <c r="O36" s="6"/>
      <c r="P36" s="6"/>
      <c r="Q36" s="179"/>
      <c r="R36" s="11"/>
      <c r="S36" s="25"/>
      <c r="T36" s="25"/>
      <c r="U36" s="25"/>
      <c r="V36" s="25"/>
      <c r="W36" s="25"/>
      <c r="X36" s="25"/>
    </row>
    <row r="37" spans="1:24" x14ac:dyDescent="0.3">
      <c r="A37" s="64"/>
      <c r="B37" s="6"/>
      <c r="C37" s="175"/>
      <c r="D37" s="173"/>
      <c r="E37" s="173"/>
      <c r="F37" s="173"/>
      <c r="G37" s="173"/>
      <c r="H37" s="173"/>
      <c r="I37" s="173"/>
      <c r="J37" s="173"/>
      <c r="K37" s="173"/>
      <c r="L37" s="174"/>
      <c r="N37" s="178"/>
      <c r="O37" s="11"/>
      <c r="P37" s="11"/>
      <c r="Q37" s="179"/>
      <c r="R37" s="6"/>
      <c r="S37" s="18"/>
      <c r="T37" s="18"/>
      <c r="U37" s="18"/>
      <c r="V37" s="18"/>
      <c r="W37" s="18"/>
      <c r="X37" s="47"/>
    </row>
    <row r="38" spans="1:24" x14ac:dyDescent="0.3">
      <c r="A38" s="64"/>
      <c r="B38" s="6"/>
      <c r="C38" s="175"/>
      <c r="D38" s="173"/>
      <c r="E38" s="173"/>
      <c r="F38" s="173"/>
      <c r="G38" s="173"/>
      <c r="H38" s="173"/>
      <c r="I38" s="173"/>
      <c r="J38" s="173"/>
      <c r="K38" s="173"/>
      <c r="L38" s="174"/>
      <c r="N38" s="53"/>
      <c r="O38" s="6"/>
      <c r="P38" s="6"/>
      <c r="Q38" s="179"/>
      <c r="R38" s="6"/>
      <c r="S38" s="18"/>
      <c r="T38" s="18"/>
      <c r="U38" s="18"/>
      <c r="V38" s="18"/>
      <c r="W38" s="18"/>
      <c r="X38" s="47"/>
    </row>
    <row r="39" spans="1:24" x14ac:dyDescent="0.3">
      <c r="A39" s="64"/>
      <c r="B39" s="6"/>
      <c r="C39" s="175"/>
      <c r="D39" s="173"/>
      <c r="E39" s="173"/>
      <c r="F39" s="173"/>
      <c r="G39" s="173"/>
      <c r="H39" s="173"/>
      <c r="I39" s="173"/>
      <c r="J39" s="173"/>
      <c r="K39" s="173"/>
      <c r="L39" s="174"/>
      <c r="N39" s="53"/>
      <c r="O39" s="6"/>
      <c r="P39" s="6"/>
      <c r="Q39" s="179"/>
      <c r="R39" s="6"/>
      <c r="S39" s="18"/>
      <c r="T39" s="18"/>
      <c r="U39" s="18"/>
      <c r="V39" s="18"/>
      <c r="W39" s="18"/>
      <c r="X39" s="47"/>
    </row>
    <row r="40" spans="1:24" x14ac:dyDescent="0.3">
      <c r="A40" s="64"/>
      <c r="B40" s="6"/>
      <c r="C40" s="175"/>
      <c r="D40" s="173"/>
      <c r="E40" s="173"/>
      <c r="F40" s="173"/>
      <c r="G40" s="173"/>
      <c r="H40" s="173"/>
      <c r="I40" s="173"/>
      <c r="J40" s="173"/>
      <c r="K40" s="173"/>
      <c r="L40" s="174"/>
      <c r="N40" s="11"/>
      <c r="O40" s="11"/>
      <c r="P40" s="11"/>
      <c r="Q40" s="11"/>
      <c r="R40" s="11"/>
      <c r="S40" s="18"/>
      <c r="T40" s="18"/>
      <c r="U40" s="18"/>
      <c r="V40" s="51"/>
      <c r="W40" s="51"/>
      <c r="X40" s="52"/>
    </row>
    <row r="41" spans="1:24" s="30" customFormat="1" x14ac:dyDescent="0.3">
      <c r="A41" s="162"/>
      <c r="B41" s="6"/>
      <c r="C41" s="175"/>
      <c r="D41" s="173"/>
      <c r="E41" s="173"/>
      <c r="F41" s="173"/>
      <c r="G41" s="173"/>
      <c r="H41" s="173"/>
      <c r="I41" s="173"/>
      <c r="J41" s="173"/>
      <c r="K41" s="173"/>
      <c r="L41" s="174"/>
      <c r="M41" s="29"/>
      <c r="N41" s="178"/>
      <c r="O41" s="178"/>
      <c r="P41" s="178"/>
      <c r="Q41" s="181"/>
      <c r="R41" s="178"/>
      <c r="S41" s="18"/>
      <c r="T41" s="18"/>
      <c r="U41" s="18"/>
      <c r="V41" s="51"/>
      <c r="W41" s="51"/>
      <c r="X41" s="52"/>
    </row>
    <row r="42" spans="1:24" ht="13" customHeight="1" x14ac:dyDescent="0.35">
      <c r="A42" s="162"/>
      <c r="B42" s="6"/>
      <c r="C42" s="72" t="s">
        <v>101</v>
      </c>
      <c r="D42" s="73"/>
      <c r="E42" s="6"/>
      <c r="F42" s="6"/>
      <c r="G42" s="18"/>
      <c r="H42" s="18"/>
      <c r="I42" s="18"/>
      <c r="J42" s="6"/>
      <c r="K42" s="18"/>
      <c r="L42" s="74"/>
      <c r="N42" s="49"/>
      <c r="O42" s="6"/>
      <c r="P42" s="6"/>
      <c r="Q42" s="179"/>
      <c r="R42" s="6"/>
      <c r="S42" s="25"/>
      <c r="T42" s="25"/>
      <c r="U42" s="25"/>
    </row>
    <row r="43" spans="1:24" ht="13" customHeight="1" x14ac:dyDescent="0.35">
      <c r="A43" s="64"/>
      <c r="B43" s="6"/>
      <c r="C43" s="106" t="s">
        <v>151</v>
      </c>
      <c r="D43" s="76"/>
      <c r="E43" s="77"/>
      <c r="F43" s="77"/>
      <c r="G43" s="78"/>
      <c r="H43" s="78"/>
      <c r="I43" s="78"/>
      <c r="J43" s="77"/>
      <c r="K43" s="78"/>
      <c r="L43" s="79"/>
      <c r="N43" s="53"/>
      <c r="O43" s="6"/>
      <c r="P43" s="6"/>
      <c r="Q43" s="179"/>
      <c r="R43" s="6"/>
      <c r="S43" s="30"/>
      <c r="T43" s="30"/>
      <c r="U43" s="30"/>
      <c r="V43" s="30"/>
      <c r="W43" s="30"/>
      <c r="X43" s="30"/>
    </row>
    <row r="44" spans="1:24" ht="13" customHeight="1" x14ac:dyDescent="0.3">
      <c r="A44" s="64"/>
      <c r="B44" s="6"/>
      <c r="C44" s="6"/>
      <c r="D44" s="18"/>
      <c r="E44" s="6"/>
      <c r="F44" s="6"/>
      <c r="G44" s="18"/>
      <c r="H44" s="18"/>
      <c r="I44" s="18"/>
      <c r="J44" s="6"/>
      <c r="K44" s="18"/>
      <c r="L44" s="65"/>
      <c r="N44" s="53"/>
      <c r="O44" s="11"/>
      <c r="P44" s="11"/>
      <c r="Q44" s="179"/>
      <c r="R44" s="11"/>
    </row>
    <row r="45" spans="1:24" ht="13" customHeight="1" x14ac:dyDescent="0.3">
      <c r="A45" s="64"/>
      <c r="B45" s="6"/>
      <c r="C45" s="6"/>
      <c r="D45" s="18"/>
      <c r="E45" s="6"/>
      <c r="F45" s="6"/>
      <c r="G45" s="18"/>
      <c r="H45" s="18"/>
      <c r="I45" s="18"/>
      <c r="J45" s="6"/>
      <c r="K45" s="18"/>
      <c r="L45" s="65"/>
      <c r="N45" s="49"/>
      <c r="O45" s="11"/>
      <c r="P45" s="11"/>
      <c r="Q45" s="179"/>
      <c r="R45" s="178"/>
      <c r="S45" s="30"/>
      <c r="T45" s="30"/>
      <c r="U45" s="30"/>
      <c r="V45" s="30"/>
      <c r="W45" s="30"/>
      <c r="X45" s="30"/>
    </row>
    <row r="46" spans="1:24" ht="13" customHeight="1" x14ac:dyDescent="0.3">
      <c r="A46" s="64"/>
      <c r="B46" s="6"/>
      <c r="C46" s="6"/>
      <c r="D46" s="18"/>
      <c r="E46" s="6"/>
      <c r="F46" s="6"/>
      <c r="G46" s="18"/>
      <c r="H46" s="18"/>
      <c r="I46" s="18"/>
      <c r="J46" s="6"/>
      <c r="K46" s="18"/>
      <c r="L46" s="65"/>
      <c r="N46" s="11"/>
      <c r="O46" s="11"/>
      <c r="P46" s="11"/>
      <c r="Q46" s="11"/>
      <c r="R46" s="11"/>
    </row>
    <row r="47" spans="1:24" ht="13" customHeight="1" x14ac:dyDescent="0.3">
      <c r="A47" s="64"/>
      <c r="B47" s="6"/>
      <c r="C47" s="6"/>
      <c r="D47" s="18"/>
      <c r="E47" s="6"/>
      <c r="F47" s="6"/>
      <c r="G47" s="18"/>
      <c r="H47" s="18"/>
      <c r="I47" s="18"/>
      <c r="J47" s="6"/>
      <c r="K47" s="18"/>
      <c r="L47" s="65"/>
      <c r="N47" s="178"/>
      <c r="O47" s="178"/>
      <c r="P47" s="178"/>
      <c r="Q47" s="182"/>
      <c r="R47" s="178"/>
    </row>
    <row r="48" spans="1:24" ht="13" customHeight="1" x14ac:dyDescent="0.3">
      <c r="A48" s="64"/>
      <c r="B48" s="6"/>
      <c r="C48" s="6"/>
      <c r="D48" s="18"/>
      <c r="E48" s="6"/>
      <c r="F48" s="6"/>
      <c r="G48" s="18"/>
      <c r="H48" s="18"/>
      <c r="I48" s="18"/>
      <c r="J48" s="6"/>
      <c r="K48" s="18"/>
      <c r="L48" s="65"/>
      <c r="N48" s="11"/>
      <c r="O48" s="11"/>
      <c r="P48" s="11"/>
      <c r="Q48" s="11"/>
      <c r="R48" s="11"/>
    </row>
    <row r="49" spans="1:23" ht="13" customHeight="1" x14ac:dyDescent="0.3">
      <c r="A49" s="64"/>
      <c r="B49" s="6"/>
      <c r="C49" s="6"/>
      <c r="D49" s="18"/>
      <c r="E49" s="6"/>
      <c r="F49" s="6"/>
      <c r="G49" s="18"/>
      <c r="H49" s="18"/>
      <c r="I49" s="18"/>
      <c r="J49" s="6"/>
      <c r="K49" s="18"/>
      <c r="L49" s="65"/>
      <c r="N49" s="11"/>
      <c r="O49" s="11"/>
      <c r="P49" s="11"/>
      <c r="Q49" s="11"/>
      <c r="R49" s="11"/>
    </row>
    <row r="50" spans="1:23" x14ac:dyDescent="0.3">
      <c r="A50" s="64"/>
      <c r="B50" s="6"/>
      <c r="C50" s="6"/>
      <c r="D50" s="18"/>
      <c r="E50" s="6"/>
      <c r="F50" s="6"/>
      <c r="G50" s="18"/>
      <c r="H50" s="18"/>
      <c r="I50" s="18"/>
      <c r="J50" s="6"/>
      <c r="K50" s="18"/>
      <c r="L50" s="65"/>
      <c r="N50" s="53"/>
      <c r="O50" s="183"/>
      <c r="P50" s="11"/>
      <c r="Q50" s="11"/>
      <c r="R50" s="11"/>
    </row>
    <row r="51" spans="1:23" x14ac:dyDescent="0.3">
      <c r="A51" s="64"/>
      <c r="B51" s="6"/>
      <c r="C51" s="6"/>
      <c r="D51" s="18"/>
      <c r="E51" s="6"/>
      <c r="F51" s="6"/>
      <c r="G51" s="18"/>
      <c r="H51" s="18"/>
      <c r="I51" s="18"/>
      <c r="J51" s="6"/>
      <c r="K51" s="18"/>
      <c r="L51" s="65"/>
      <c r="N51" s="11"/>
      <c r="O51" s="11"/>
      <c r="P51" s="11"/>
      <c r="Q51" s="11"/>
      <c r="R51" s="11"/>
    </row>
    <row r="52" spans="1:23" x14ac:dyDescent="0.3">
      <c r="A52" s="66"/>
      <c r="B52" s="34"/>
      <c r="C52" s="35"/>
      <c r="D52" s="34"/>
      <c r="E52" s="35"/>
      <c r="F52" s="34"/>
      <c r="G52" s="34"/>
      <c r="H52" s="34"/>
      <c r="I52" s="34"/>
      <c r="J52" s="34"/>
      <c r="K52" s="34"/>
      <c r="L52" s="65"/>
      <c r="N52" s="11"/>
      <c r="O52" s="11"/>
      <c r="P52" s="11"/>
      <c r="Q52" s="11"/>
      <c r="R52" s="11"/>
    </row>
    <row r="53" spans="1:23" x14ac:dyDescent="0.3">
      <c r="A53" s="66" t="s">
        <v>152</v>
      </c>
      <c r="B53" s="69"/>
      <c r="C53" s="69"/>
      <c r="D53" s="69"/>
      <c r="E53" s="69"/>
      <c r="F53" s="69"/>
      <c r="G53" s="69"/>
      <c r="H53" s="69"/>
      <c r="I53" s="69"/>
      <c r="J53" s="69"/>
      <c r="K53" s="69"/>
      <c r="L53" s="70"/>
      <c r="N53" s="11"/>
      <c r="O53" s="11"/>
      <c r="P53" s="11"/>
      <c r="Q53" s="11"/>
      <c r="R53" s="11"/>
    </row>
    <row r="54" spans="1:23" ht="13.5" thickBot="1" x14ac:dyDescent="0.35">
      <c r="N54" s="11"/>
      <c r="O54" s="11"/>
      <c r="P54" s="11"/>
      <c r="Q54" s="11"/>
      <c r="R54" s="11"/>
    </row>
    <row r="55" spans="1:23" x14ac:dyDescent="0.3">
      <c r="A55" s="3" t="s">
        <v>0</v>
      </c>
      <c r="B55" s="4" t="s">
        <v>1</v>
      </c>
      <c r="C55" s="4" t="s">
        <v>2</v>
      </c>
      <c r="D55" s="4" t="s">
        <v>44</v>
      </c>
      <c r="E55" s="59" t="s">
        <v>45</v>
      </c>
      <c r="F55" s="4" t="s">
        <v>3</v>
      </c>
      <c r="G55" s="4" t="s">
        <v>4</v>
      </c>
      <c r="H55" s="4" t="s">
        <v>5</v>
      </c>
      <c r="I55" s="4" t="s">
        <v>100</v>
      </c>
      <c r="J55" s="4" t="s">
        <v>6</v>
      </c>
      <c r="K55" s="4" t="s">
        <v>7</v>
      </c>
      <c r="L55" s="5" t="s">
        <v>8</v>
      </c>
      <c r="M55" s="6"/>
      <c r="N55" s="7" t="s">
        <v>157</v>
      </c>
      <c r="O55" s="8"/>
      <c r="P55" s="9"/>
      <c r="Q55" s="10"/>
      <c r="R55" s="11"/>
      <c r="T55" s="11"/>
      <c r="U55" s="11"/>
      <c r="V55" s="11"/>
      <c r="W55" s="12"/>
    </row>
    <row r="56" spans="1:23" x14ac:dyDescent="0.3">
      <c r="A56" s="90" t="s">
        <v>27</v>
      </c>
      <c r="B56" s="92" t="s">
        <v>12</v>
      </c>
      <c r="C56" s="92">
        <v>56</v>
      </c>
      <c r="D56" s="91">
        <v>0.75</v>
      </c>
      <c r="E56" s="92">
        <v>1</v>
      </c>
      <c r="F56" s="92">
        <v>2</v>
      </c>
      <c r="G56" s="91">
        <v>90</v>
      </c>
      <c r="H56" s="91">
        <f t="shared" ref="H56:H59" si="8">C56*4+D56*G56+E56*(F56)*G56</f>
        <v>471.5</v>
      </c>
      <c r="I56" s="91">
        <f t="shared" ref="I56:I60" si="9">F56*G56*E56</f>
        <v>180</v>
      </c>
      <c r="J56" s="92">
        <v>20</v>
      </c>
      <c r="K56" s="91">
        <f t="shared" ref="K56:K59" si="10">G56*J56</f>
        <v>1800</v>
      </c>
      <c r="L56" s="93">
        <f t="shared" ref="L56:L60" si="11">K56*29000/60-H56*323.7</f>
        <v>717375.45</v>
      </c>
      <c r="N56" s="17" t="s">
        <v>154</v>
      </c>
      <c r="O56" s="27"/>
      <c r="P56" s="6"/>
      <c r="Q56" s="28">
        <f>K58/60</f>
        <v>30</v>
      </c>
      <c r="R56" s="11"/>
      <c r="T56" s="11"/>
      <c r="U56" s="11"/>
      <c r="V56" s="11"/>
      <c r="W56" s="12"/>
    </row>
    <row r="57" spans="1:23" x14ac:dyDescent="0.3">
      <c r="A57" s="90" t="s">
        <v>28</v>
      </c>
      <c r="B57" s="92" t="s">
        <v>11</v>
      </c>
      <c r="C57" s="92">
        <v>54</v>
      </c>
      <c r="D57" s="91">
        <v>0.75</v>
      </c>
      <c r="E57" s="92">
        <v>1.5</v>
      </c>
      <c r="F57" s="92">
        <v>2</v>
      </c>
      <c r="G57" s="91">
        <v>90</v>
      </c>
      <c r="H57" s="91">
        <f t="shared" si="8"/>
        <v>553.5</v>
      </c>
      <c r="I57" s="91">
        <f t="shared" si="9"/>
        <v>270</v>
      </c>
      <c r="J57" s="92">
        <v>20</v>
      </c>
      <c r="K57" s="91">
        <f t="shared" si="10"/>
        <v>1800</v>
      </c>
      <c r="L57" s="93">
        <f t="shared" si="11"/>
        <v>690832.05</v>
      </c>
      <c r="N57" s="17" t="s">
        <v>107</v>
      </c>
      <c r="O57" s="27"/>
      <c r="P57" s="6"/>
      <c r="Q57" s="28">
        <f>H61</f>
        <v>2669</v>
      </c>
      <c r="R57" s="11"/>
      <c r="T57" s="11"/>
      <c r="U57" s="11"/>
      <c r="V57" s="11"/>
      <c r="W57" s="12"/>
    </row>
    <row r="58" spans="1:23" ht="13.5" thickBot="1" x14ac:dyDescent="0.35">
      <c r="A58" s="90" t="s">
        <v>29</v>
      </c>
      <c r="B58" s="92" t="s">
        <v>33</v>
      </c>
      <c r="C58" s="92">
        <v>48</v>
      </c>
      <c r="D58" s="91">
        <v>0.75</v>
      </c>
      <c r="E58" s="92">
        <v>1</v>
      </c>
      <c r="F58" s="92">
        <v>2</v>
      </c>
      <c r="G58" s="91">
        <v>90</v>
      </c>
      <c r="H58" s="91">
        <f t="shared" si="8"/>
        <v>439.5</v>
      </c>
      <c r="I58" s="91">
        <f t="shared" si="9"/>
        <v>180</v>
      </c>
      <c r="J58" s="92">
        <v>20</v>
      </c>
      <c r="K58" s="91">
        <f t="shared" si="10"/>
        <v>1800</v>
      </c>
      <c r="L58" s="93">
        <f t="shared" si="11"/>
        <v>727733.85</v>
      </c>
      <c r="N58" s="24" t="s">
        <v>158</v>
      </c>
      <c r="O58" s="37"/>
      <c r="P58" s="38"/>
      <c r="Q58" s="163">
        <f>(Q57)/847</f>
        <v>3.1511216056670603</v>
      </c>
      <c r="R58" s="11"/>
      <c r="S58" s="25"/>
      <c r="T58" s="11"/>
      <c r="U58" s="11"/>
      <c r="V58" s="11"/>
      <c r="W58" s="12"/>
    </row>
    <row r="59" spans="1:23" x14ac:dyDescent="0.3">
      <c r="A59" s="90" t="s">
        <v>30</v>
      </c>
      <c r="B59" s="92" t="s">
        <v>33</v>
      </c>
      <c r="C59" s="92">
        <v>32</v>
      </c>
      <c r="D59" s="91">
        <v>0.5</v>
      </c>
      <c r="E59" s="92">
        <v>1</v>
      </c>
      <c r="F59" s="92">
        <v>2</v>
      </c>
      <c r="G59" s="91">
        <v>90</v>
      </c>
      <c r="H59" s="91">
        <f t="shared" si="8"/>
        <v>353</v>
      </c>
      <c r="I59" s="91">
        <f t="shared" si="9"/>
        <v>180</v>
      </c>
      <c r="J59" s="92">
        <v>10</v>
      </c>
      <c r="K59" s="91">
        <f t="shared" si="10"/>
        <v>900</v>
      </c>
      <c r="L59" s="93">
        <f t="shared" si="11"/>
        <v>320733.90000000002</v>
      </c>
      <c r="N59" s="53"/>
      <c r="O59" s="11"/>
      <c r="P59" s="11"/>
      <c r="Q59" s="46"/>
      <c r="R59" s="11"/>
    </row>
    <row r="60" spans="1:23" x14ac:dyDescent="0.3">
      <c r="A60" s="90" t="s">
        <v>153</v>
      </c>
      <c r="B60" s="92" t="s">
        <v>11</v>
      </c>
      <c r="C60" s="92">
        <v>16</v>
      </c>
      <c r="D60" s="91">
        <v>1.75</v>
      </c>
      <c r="E60" s="92">
        <v>3.5</v>
      </c>
      <c r="F60" s="92">
        <v>2</v>
      </c>
      <c r="G60" s="91">
        <v>90</v>
      </c>
      <c r="H60" s="91">
        <f>C60*4+D60*G60+E60*(F60)*G60</f>
        <v>851.5</v>
      </c>
      <c r="I60" s="91">
        <f t="shared" si="9"/>
        <v>630</v>
      </c>
      <c r="J60" s="92">
        <v>30</v>
      </c>
      <c r="K60" s="91">
        <f>G60*J60</f>
        <v>2700</v>
      </c>
      <c r="L60" s="93">
        <f t="shared" si="11"/>
        <v>1029369.45</v>
      </c>
      <c r="N60" s="53"/>
      <c r="O60" s="184"/>
      <c r="P60" s="6"/>
      <c r="Q60" s="183"/>
      <c r="R60" s="11"/>
    </row>
    <row r="61" spans="1:23" x14ac:dyDescent="0.3">
      <c r="A61" s="33" t="s">
        <v>15</v>
      </c>
      <c r="B61" s="34"/>
      <c r="C61" s="35">
        <f>SUM(C56:C60)*4</f>
        <v>824</v>
      </c>
      <c r="D61" s="34"/>
      <c r="E61" s="35"/>
      <c r="F61" s="34"/>
      <c r="G61" s="34">
        <f t="shared" ref="G61:L61" si="12">SUM(G56:G60)</f>
        <v>450</v>
      </c>
      <c r="H61" s="34">
        <f t="shared" si="12"/>
        <v>2669</v>
      </c>
      <c r="I61" s="34">
        <f t="shared" si="12"/>
        <v>1440</v>
      </c>
      <c r="J61" s="34">
        <f t="shared" si="12"/>
        <v>100</v>
      </c>
      <c r="K61" s="34">
        <f t="shared" si="12"/>
        <v>9000</v>
      </c>
      <c r="L61" s="88">
        <f t="shared" si="12"/>
        <v>3486044.7</v>
      </c>
      <c r="N61" s="53"/>
      <c r="O61" s="184"/>
      <c r="P61" s="11"/>
      <c r="Q61" s="11"/>
      <c r="R61" s="11"/>
    </row>
    <row r="63" spans="1:23" s="30" customFormat="1" x14ac:dyDescent="0.3">
      <c r="A63" s="56"/>
      <c r="B63" s="51"/>
      <c r="C63" s="51"/>
      <c r="D63" s="51" t="s">
        <v>22</v>
      </c>
      <c r="E63" s="51"/>
      <c r="F63" s="51"/>
      <c r="G63" s="51"/>
      <c r="H63" s="51"/>
      <c r="I63" s="51"/>
      <c r="J63" s="51"/>
      <c r="K63" s="51"/>
      <c r="L63" s="52"/>
      <c r="M63" s="29"/>
    </row>
    <row r="64" spans="1:23" ht="15.5" x14ac:dyDescent="0.35">
      <c r="B64" s="185"/>
      <c r="C64" s="186"/>
      <c r="D64" s="187"/>
      <c r="E64" s="187"/>
      <c r="F64"/>
      <c r="G64"/>
      <c r="H64"/>
    </row>
    <row r="65" spans="2:13" ht="14.5" x14ac:dyDescent="0.35">
      <c r="B65" s="187"/>
      <c r="C65" s="187"/>
      <c r="D65" s="187"/>
      <c r="E65" s="187"/>
      <c r="F65"/>
      <c r="G65"/>
      <c r="H65"/>
    </row>
    <row r="66" spans="2:13" ht="14.5" x14ac:dyDescent="0.35">
      <c r="B66" s="188"/>
      <c r="C66" s="187"/>
      <c r="D66" s="187"/>
      <c r="E66" s="187"/>
      <c r="F66"/>
      <c r="G66"/>
      <c r="H66"/>
    </row>
    <row r="67" spans="2:13" ht="14.5" x14ac:dyDescent="0.35">
      <c r="B67" s="188"/>
      <c r="C67" s="186"/>
      <c r="D67" s="187"/>
      <c r="E67" s="187"/>
      <c r="F67"/>
      <c r="G67"/>
      <c r="H67"/>
    </row>
    <row r="68" spans="2:13" ht="14.5" x14ac:dyDescent="0.35">
      <c r="B68" s="186"/>
      <c r="C68" s="189"/>
      <c r="D68" s="190"/>
      <c r="E68" s="190"/>
      <c r="H68"/>
    </row>
    <row r="69" spans="2:13" ht="14.5" x14ac:dyDescent="0.35">
      <c r="B69" s="191"/>
      <c r="C69" s="192"/>
      <c r="D69" s="191"/>
      <c r="E69" s="191"/>
      <c r="H69"/>
    </row>
    <row r="70" spans="2:13" ht="14.5" x14ac:dyDescent="0.35">
      <c r="B70" s="187"/>
      <c r="C70" s="193"/>
      <c r="D70" s="187"/>
      <c r="E70" s="187"/>
      <c r="H70"/>
    </row>
    <row r="71" spans="2:13" ht="14.5" x14ac:dyDescent="0.35">
      <c r="B71" s="194"/>
      <c r="C71" s="193"/>
      <c r="D71" s="186"/>
      <c r="E71" s="186"/>
      <c r="F71" s="120"/>
      <c r="M71" s="2"/>
    </row>
    <row r="72" spans="2:13" ht="14.5" x14ac:dyDescent="0.35">
      <c r="B72" s="194"/>
      <c r="C72" s="193"/>
      <c r="D72" s="186"/>
      <c r="E72" s="186"/>
      <c r="H72"/>
      <c r="M72" s="2"/>
    </row>
    <row r="73" spans="2:13" ht="14.5" x14ac:dyDescent="0.35">
      <c r="B73" s="187"/>
      <c r="C73" s="193"/>
      <c r="D73" s="187"/>
      <c r="E73" s="187"/>
      <c r="H73"/>
      <c r="M73" s="2"/>
    </row>
    <row r="74" spans="2:13" ht="14.5" x14ac:dyDescent="0.35">
      <c r="B74" s="187"/>
      <c r="C74" s="193"/>
      <c r="D74" s="187"/>
      <c r="E74" s="187"/>
      <c r="H74"/>
      <c r="M74" s="2"/>
    </row>
    <row r="75" spans="2:13" ht="14.5" x14ac:dyDescent="0.35">
      <c r="B75" s="195"/>
      <c r="C75" s="193"/>
      <c r="D75" s="196"/>
      <c r="E75" s="197"/>
      <c r="H75"/>
      <c r="M75" s="2"/>
    </row>
    <row r="76" spans="2:13" ht="14.5" x14ac:dyDescent="0.35">
      <c r="B76" s="198"/>
      <c r="C76" s="193"/>
      <c r="D76" s="186"/>
      <c r="E76" s="186"/>
      <c r="H76"/>
      <c r="M76" s="2"/>
    </row>
    <row r="77" spans="2:13" ht="14.5" x14ac:dyDescent="0.35">
      <c r="B77" s="187"/>
      <c r="C77" s="193"/>
      <c r="D77" s="187"/>
      <c r="E77" s="187"/>
      <c r="H77"/>
      <c r="M77" s="2"/>
    </row>
    <row r="78" spans="2:13" ht="14.5" x14ac:dyDescent="0.35">
      <c r="B78" s="191"/>
      <c r="C78" s="199"/>
      <c r="D78" s="191"/>
      <c r="E78" s="191"/>
      <c r="H78"/>
      <c r="M78" s="2"/>
    </row>
    <row r="79" spans="2:13" ht="14.5" x14ac:dyDescent="0.35">
      <c r="B79" s="186"/>
      <c r="C79" s="199"/>
      <c r="D79" s="200"/>
      <c r="E79" s="200"/>
      <c r="H79"/>
      <c r="M79" s="2"/>
    </row>
    <row r="80" spans="2:13" ht="14.5" x14ac:dyDescent="0.35">
      <c r="B80" s="196"/>
      <c r="C80" s="201"/>
      <c r="D80" s="202"/>
      <c r="E80" s="202"/>
      <c r="H80"/>
      <c r="M80" s="2"/>
    </row>
    <row r="81" spans="1:13" ht="14.5" x14ac:dyDescent="0.35">
      <c r="B81" s="187"/>
      <c r="C81" s="187"/>
      <c r="D81" s="187"/>
      <c r="E81" s="187"/>
      <c r="F81"/>
      <c r="G81"/>
      <c r="H81"/>
      <c r="M81" s="2"/>
    </row>
    <row r="82" spans="1:13" ht="14.5" x14ac:dyDescent="0.35">
      <c r="B82" s="187"/>
      <c r="C82" s="203"/>
      <c r="D82" s="187"/>
      <c r="E82" s="187"/>
      <c r="F82"/>
      <c r="G82"/>
      <c r="H82"/>
      <c r="M82" s="2"/>
    </row>
    <row r="83" spans="1:13" x14ac:dyDescent="0.3">
      <c r="M83" s="2"/>
    </row>
    <row r="84" spans="1:13" x14ac:dyDescent="0.3">
      <c r="M84" s="2"/>
    </row>
    <row r="85" spans="1:13" x14ac:dyDescent="0.3">
      <c r="M85" s="2"/>
    </row>
    <row r="86" spans="1:13" x14ac:dyDescent="0.3">
      <c r="M86" s="2"/>
    </row>
    <row r="88" spans="1:13" s="30" customFormat="1" x14ac:dyDescent="0.3">
      <c r="A88" s="56"/>
      <c r="B88" s="51"/>
      <c r="C88" s="51"/>
      <c r="D88" s="51"/>
      <c r="E88" s="51"/>
      <c r="F88" s="51"/>
      <c r="G88" s="51"/>
      <c r="H88" s="51"/>
      <c r="I88" s="51"/>
      <c r="J88" s="51"/>
      <c r="K88" s="51"/>
      <c r="L88" s="52"/>
      <c r="M88" s="29"/>
    </row>
    <row r="99" spans="13:13" x14ac:dyDescent="0.3">
      <c r="M99" s="58"/>
    </row>
  </sheetData>
  <mergeCells count="3">
    <mergeCell ref="C34:L41"/>
    <mergeCell ref="A2:L2"/>
    <mergeCell ref="D80:E80"/>
  </mergeCells>
  <conditionalFormatting sqref="L28:L30">
    <cfRule type="cellIs" dxfId="144" priority="40" operator="lessThan">
      <formula>0</formula>
    </cfRule>
  </conditionalFormatting>
  <conditionalFormatting sqref="L33 L42:L50">
    <cfRule type="cellIs" dxfId="143" priority="39" operator="lessThan">
      <formula>0</formula>
    </cfRule>
  </conditionalFormatting>
  <conditionalFormatting sqref="L32">
    <cfRule type="cellIs" dxfId="142" priority="38" operator="lessThan">
      <formula>0</formula>
    </cfRule>
  </conditionalFormatting>
  <conditionalFormatting sqref="L31">
    <cfRule type="cellIs" dxfId="141" priority="37" operator="lessThan">
      <formula>0</formula>
    </cfRule>
  </conditionalFormatting>
  <conditionalFormatting sqref="L5">
    <cfRule type="cellIs" dxfId="140" priority="34" operator="lessThan">
      <formula>0</formula>
    </cfRule>
  </conditionalFormatting>
  <conditionalFormatting sqref="L51">
    <cfRule type="cellIs" dxfId="139" priority="35" operator="lessThan">
      <formula>0</formula>
    </cfRule>
  </conditionalFormatting>
  <conditionalFormatting sqref="L6">
    <cfRule type="cellIs" dxfId="138" priority="29" operator="lessThan">
      <formula>0</formula>
    </cfRule>
  </conditionalFormatting>
  <conditionalFormatting sqref="L8">
    <cfRule type="cellIs" dxfId="137" priority="28" operator="lessThan">
      <formula>0</formula>
    </cfRule>
  </conditionalFormatting>
  <conditionalFormatting sqref="L10">
    <cfRule type="cellIs" dxfId="136" priority="27" operator="lessThan">
      <formula>0</formula>
    </cfRule>
  </conditionalFormatting>
  <conditionalFormatting sqref="L11">
    <cfRule type="cellIs" dxfId="135" priority="26" operator="lessThan">
      <formula>0</formula>
    </cfRule>
  </conditionalFormatting>
  <conditionalFormatting sqref="L12">
    <cfRule type="cellIs" dxfId="134" priority="25" operator="lessThan">
      <formula>0</formula>
    </cfRule>
  </conditionalFormatting>
  <conditionalFormatting sqref="L18">
    <cfRule type="cellIs" dxfId="133" priority="24" operator="lessThan">
      <formula>0</formula>
    </cfRule>
  </conditionalFormatting>
  <conditionalFormatting sqref="L16">
    <cfRule type="cellIs" dxfId="132" priority="23" operator="lessThan">
      <formula>0</formula>
    </cfRule>
  </conditionalFormatting>
  <conditionalFormatting sqref="L17">
    <cfRule type="cellIs" dxfId="131" priority="21" operator="lessThan">
      <formula>0</formula>
    </cfRule>
  </conditionalFormatting>
  <conditionalFormatting sqref="L19">
    <cfRule type="cellIs" dxfId="130" priority="19" operator="lessThan">
      <formula>0</formula>
    </cfRule>
  </conditionalFormatting>
  <conditionalFormatting sqref="L7">
    <cfRule type="cellIs" dxfId="129" priority="12" operator="lessThan">
      <formula>0</formula>
    </cfRule>
  </conditionalFormatting>
  <conditionalFormatting sqref="L22">
    <cfRule type="cellIs" dxfId="128" priority="14" operator="lessThan">
      <formula>0</formula>
    </cfRule>
  </conditionalFormatting>
  <conditionalFormatting sqref="L9">
    <cfRule type="cellIs" dxfId="127" priority="11" operator="lessThan">
      <formula>0</formula>
    </cfRule>
  </conditionalFormatting>
  <conditionalFormatting sqref="L20">
    <cfRule type="cellIs" dxfId="126" priority="10" operator="lessThan">
      <formula>0</formula>
    </cfRule>
  </conditionalFormatting>
  <conditionalFormatting sqref="L21">
    <cfRule type="cellIs" dxfId="125" priority="9" operator="lessThan">
      <formula>0</formula>
    </cfRule>
  </conditionalFormatting>
  <conditionalFormatting sqref="L14">
    <cfRule type="cellIs" dxfId="124" priority="6" operator="lessThan">
      <formula>0</formula>
    </cfRule>
  </conditionalFormatting>
  <conditionalFormatting sqref="L56">
    <cfRule type="cellIs" dxfId="123" priority="5" operator="lessThan">
      <formula>0</formula>
    </cfRule>
  </conditionalFormatting>
  <conditionalFormatting sqref="L57">
    <cfRule type="cellIs" dxfId="122" priority="4" operator="lessThan">
      <formula>0</formula>
    </cfRule>
  </conditionalFormatting>
  <conditionalFormatting sqref="L58">
    <cfRule type="cellIs" dxfId="121" priority="3" operator="lessThan">
      <formula>0</formula>
    </cfRule>
  </conditionalFormatting>
  <conditionalFormatting sqref="L59">
    <cfRule type="cellIs" dxfId="120" priority="2" operator="lessThan">
      <formula>0</formula>
    </cfRule>
  </conditionalFormatting>
  <conditionalFormatting sqref="L60">
    <cfRule type="cellIs" dxfId="119" priority="1" operator="lessThan">
      <formula>0</formula>
    </cfRule>
  </conditionalFormatting>
  <pageMargins left="0.70866141732283472" right="0.70866141732283472" top="0.74803149606299213" bottom="0.74803149606299213" header="0.31496062992125984" footer="0.31496062992125984"/>
  <pageSetup paperSize="9" scale="71" fitToWidth="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01"/>
  <sheetViews>
    <sheetView topLeftCell="B28" zoomScale="70" zoomScaleNormal="70" workbookViewId="0">
      <selection activeCell="C36" sqref="C36:L43"/>
    </sheetView>
  </sheetViews>
  <sheetFormatPr baseColWidth="10" defaultColWidth="9.1796875" defaultRowHeight="13" x14ac:dyDescent="0.3"/>
  <cols>
    <col min="1" max="1" width="41.81640625" style="56" customWidth="1"/>
    <col min="2" max="2" width="10.81640625" style="51" customWidth="1"/>
    <col min="3" max="3" width="10.7265625" style="51" customWidth="1"/>
    <col min="4" max="4" width="12.54296875" style="51" customWidth="1"/>
    <col min="5" max="5" width="11.26953125" style="51" customWidth="1"/>
    <col min="6" max="6" width="9.7265625" style="51" customWidth="1"/>
    <col min="7" max="7" width="10" style="51" customWidth="1"/>
    <col min="8" max="9" width="14.1796875" style="51" customWidth="1"/>
    <col min="10" max="10" width="5.7265625" style="51" customWidth="1"/>
    <col min="11" max="11" width="9.7265625" style="51" customWidth="1"/>
    <col min="12" max="12" width="12.54296875" style="52" bestFit="1" customWidth="1"/>
    <col min="13" max="13" width="13.7265625" style="1" customWidth="1"/>
    <col min="14" max="14" width="36.81640625" style="2" customWidth="1"/>
    <col min="15" max="15" width="10.1796875" style="2" customWidth="1"/>
    <col min="16" max="16" width="30" style="2" customWidth="1"/>
    <col min="17" max="17" width="9.81640625" style="2" bestFit="1" customWidth="1"/>
    <col min="18" max="18" width="27.26953125" style="2" bestFit="1" customWidth="1"/>
    <col min="19" max="23" width="9.1796875" style="2"/>
    <col min="24" max="24" width="50.54296875" style="2" customWidth="1"/>
    <col min="25" max="16384" width="9.1796875" style="2"/>
  </cols>
  <sheetData>
    <row r="1" spans="1:23" ht="13.5" thickBot="1" x14ac:dyDescent="0.35">
      <c r="A1" s="56" t="s">
        <v>35</v>
      </c>
    </row>
    <row r="2" spans="1:23" ht="13.5" thickBot="1" x14ac:dyDescent="0.35">
      <c r="A2" s="168" t="s">
        <v>75</v>
      </c>
      <c r="B2" s="169"/>
      <c r="C2" s="169"/>
      <c r="D2" s="169"/>
      <c r="E2" s="169"/>
      <c r="F2" s="169"/>
      <c r="G2" s="169"/>
      <c r="H2" s="169"/>
      <c r="I2" s="169"/>
      <c r="J2" s="169"/>
      <c r="K2" s="169"/>
      <c r="L2" s="170"/>
    </row>
    <row r="3" spans="1:23" x14ac:dyDescent="0.3">
      <c r="A3" s="3" t="s">
        <v>0</v>
      </c>
      <c r="B3" s="4" t="s">
        <v>1</v>
      </c>
      <c r="C3" s="4" t="s">
        <v>2</v>
      </c>
      <c r="D3" s="4" t="s">
        <v>44</v>
      </c>
      <c r="E3" s="59" t="s">
        <v>45</v>
      </c>
      <c r="F3" s="4" t="s">
        <v>3</v>
      </c>
      <c r="G3" s="4" t="s">
        <v>4</v>
      </c>
      <c r="H3" s="4" t="s">
        <v>5</v>
      </c>
      <c r="I3" s="4" t="s">
        <v>46</v>
      </c>
      <c r="J3" s="4" t="s">
        <v>6</v>
      </c>
      <c r="K3" s="4" t="s">
        <v>7</v>
      </c>
      <c r="L3" s="5" t="s">
        <v>8</v>
      </c>
      <c r="M3" s="6"/>
      <c r="N3" s="7" t="s">
        <v>9</v>
      </c>
      <c r="O3" s="8"/>
      <c r="P3" s="9"/>
      <c r="Q3" s="10"/>
      <c r="T3" s="11"/>
      <c r="U3" s="11"/>
      <c r="V3" s="11"/>
      <c r="W3" s="12"/>
    </row>
    <row r="4" spans="1:23" x14ac:dyDescent="0.3">
      <c r="A4" s="13"/>
      <c r="B4" s="14"/>
      <c r="C4" s="14"/>
      <c r="D4" s="14"/>
      <c r="E4" s="14"/>
      <c r="F4" s="14"/>
      <c r="G4" s="14"/>
      <c r="H4" s="14"/>
      <c r="I4" s="14"/>
      <c r="J4" s="14"/>
      <c r="K4" s="14"/>
      <c r="L4" s="15"/>
      <c r="M4" s="16"/>
      <c r="N4" s="97" t="s">
        <v>137</v>
      </c>
      <c r="O4" s="91">
        <f>K25</f>
        <v>2400</v>
      </c>
      <c r="P4" s="91" t="s">
        <v>106</v>
      </c>
      <c r="Q4" s="101">
        <f>(O4/60)/2</f>
        <v>20</v>
      </c>
      <c r="T4" s="11"/>
      <c r="U4" s="11"/>
      <c r="V4" s="11"/>
      <c r="W4" s="12"/>
    </row>
    <row r="5" spans="1:23" x14ac:dyDescent="0.3">
      <c r="A5" s="20" t="s">
        <v>67</v>
      </c>
      <c r="B5" s="18" t="s">
        <v>33</v>
      </c>
      <c r="C5" s="6">
        <v>31</v>
      </c>
      <c r="D5" s="18">
        <v>0.5</v>
      </c>
      <c r="E5" s="6">
        <v>1</v>
      </c>
      <c r="F5" s="18">
        <v>2</v>
      </c>
      <c r="G5" s="18">
        <f>G32</f>
        <v>20</v>
      </c>
      <c r="H5" s="18">
        <f>C5*4+D5*G5+E5*(F5)*G5</f>
        <v>174</v>
      </c>
      <c r="I5" s="18">
        <f t="shared" ref="I5:I24" si="0">F5*G5*E5</f>
        <v>40</v>
      </c>
      <c r="J5" s="6">
        <v>15</v>
      </c>
      <c r="K5" s="18">
        <f t="shared" ref="K5:K12" si="1">G5*J5</f>
        <v>300</v>
      </c>
      <c r="L5" s="21">
        <f>K5*44907/60-H5*O7</f>
        <v>166540.79999999999</v>
      </c>
      <c r="N5" s="97"/>
      <c r="O5" s="91"/>
      <c r="P5" s="91"/>
      <c r="Q5" s="101"/>
      <c r="T5" s="11"/>
      <c r="U5" s="11"/>
      <c r="V5" s="11"/>
      <c r="W5" s="12"/>
    </row>
    <row r="6" spans="1:23" x14ac:dyDescent="0.3">
      <c r="A6" s="20" t="s">
        <v>155</v>
      </c>
      <c r="B6" s="18" t="s">
        <v>33</v>
      </c>
      <c r="C6" s="6">
        <v>12</v>
      </c>
      <c r="D6" s="18"/>
      <c r="E6" s="6"/>
      <c r="F6" s="18"/>
      <c r="G6" s="18">
        <f>G32</f>
        <v>20</v>
      </c>
      <c r="H6" s="18">
        <f>C6*3+D6*G6+E6*(F6)*G6</f>
        <v>36</v>
      </c>
      <c r="I6" s="18">
        <f t="shared" ref="I6" si="2">F6*G6*E6</f>
        <v>0</v>
      </c>
      <c r="J6" s="6"/>
      <c r="K6" s="18">
        <f t="shared" si="1"/>
        <v>0</v>
      </c>
      <c r="L6" s="21">
        <f>K6*44907/60-H6*O7</f>
        <v>-11998.800000000001</v>
      </c>
      <c r="N6" s="97"/>
      <c r="O6" s="91"/>
      <c r="P6" s="91"/>
      <c r="Q6" s="101"/>
      <c r="T6" s="11"/>
      <c r="U6" s="11"/>
      <c r="V6" s="11"/>
      <c r="W6" s="12"/>
    </row>
    <row r="7" spans="1:23" x14ac:dyDescent="0.3">
      <c r="A7" s="20" t="s">
        <v>68</v>
      </c>
      <c r="B7" s="18" t="s">
        <v>33</v>
      </c>
      <c r="C7" s="6">
        <v>60</v>
      </c>
      <c r="D7" s="18">
        <v>0.5</v>
      </c>
      <c r="E7" s="6">
        <v>1</v>
      </c>
      <c r="F7" s="18">
        <v>2</v>
      </c>
      <c r="G7" s="18">
        <f>G32</f>
        <v>20</v>
      </c>
      <c r="H7" s="18">
        <f>C7*3+D7*G7+E7*(F7)*G7</f>
        <v>230</v>
      </c>
      <c r="I7" s="18">
        <f t="shared" si="0"/>
        <v>40</v>
      </c>
      <c r="J7" s="6">
        <v>10</v>
      </c>
      <c r="K7" s="18">
        <f t="shared" si="1"/>
        <v>200</v>
      </c>
      <c r="L7" s="21">
        <f>K7*44907/60-H7*O7</f>
        <v>73031</v>
      </c>
      <c r="N7" s="97" t="s">
        <v>130</v>
      </c>
      <c r="O7" s="91">
        <v>333.3</v>
      </c>
      <c r="P7" s="91"/>
      <c r="Q7" s="101"/>
      <c r="T7" s="11"/>
      <c r="U7" s="11"/>
      <c r="V7" s="11"/>
      <c r="W7" s="12"/>
    </row>
    <row r="8" spans="1:23" x14ac:dyDescent="0.3">
      <c r="A8" s="20" t="s">
        <v>69</v>
      </c>
      <c r="B8" s="18" t="s">
        <v>34</v>
      </c>
      <c r="C8" s="6">
        <v>15</v>
      </c>
      <c r="D8" s="18">
        <v>0.5</v>
      </c>
      <c r="E8" s="6">
        <v>1.5</v>
      </c>
      <c r="F8" s="18">
        <v>2</v>
      </c>
      <c r="G8" s="18">
        <f>G32</f>
        <v>20</v>
      </c>
      <c r="H8" s="18">
        <f t="shared" ref="H8:H24" si="3">C8*4+D8*G8+E8*(F8)*G8</f>
        <v>130</v>
      </c>
      <c r="I8" s="18">
        <f t="shared" si="0"/>
        <v>60</v>
      </c>
      <c r="J8" s="6">
        <v>10</v>
      </c>
      <c r="K8" s="18">
        <f t="shared" si="1"/>
        <v>200</v>
      </c>
      <c r="L8" s="21">
        <f>K8*44907/60-H8*O7</f>
        <v>106361</v>
      </c>
      <c r="N8" s="97"/>
      <c r="O8" s="91"/>
      <c r="P8" s="91"/>
      <c r="Q8" s="101"/>
      <c r="T8" s="11"/>
      <c r="U8" s="11"/>
      <c r="V8" s="11"/>
      <c r="W8" s="12"/>
    </row>
    <row r="9" spans="1:23" x14ac:dyDescent="0.3">
      <c r="A9" s="20" t="s">
        <v>69</v>
      </c>
      <c r="B9" s="18" t="s">
        <v>34</v>
      </c>
      <c r="C9" s="6">
        <v>9</v>
      </c>
      <c r="D9" s="18"/>
      <c r="E9" s="6"/>
      <c r="F9" s="18"/>
      <c r="G9" s="18">
        <f>G32</f>
        <v>20</v>
      </c>
      <c r="H9" s="18">
        <f>C9*3+D9*G9+E9*(F9)*G9</f>
        <v>27</v>
      </c>
      <c r="I9" s="18">
        <f t="shared" ref="I9" si="4">F9*G9*E9</f>
        <v>0</v>
      </c>
      <c r="J9" s="6"/>
      <c r="K9" s="18">
        <f t="shared" si="1"/>
        <v>0</v>
      </c>
      <c r="L9" s="21">
        <f>K9*44907/60-H9*O7</f>
        <v>-8999.1</v>
      </c>
      <c r="N9" s="97"/>
      <c r="O9" s="91"/>
      <c r="P9" s="91"/>
      <c r="Q9" s="101"/>
      <c r="T9" s="11"/>
      <c r="U9" s="11"/>
      <c r="V9" s="11"/>
      <c r="W9" s="12"/>
    </row>
    <row r="10" spans="1:23" x14ac:dyDescent="0.3">
      <c r="A10" s="20" t="s">
        <v>70</v>
      </c>
      <c r="B10" s="18" t="s">
        <v>34</v>
      </c>
      <c r="C10" s="6">
        <v>18</v>
      </c>
      <c r="D10" s="18">
        <v>0.75</v>
      </c>
      <c r="E10" s="6">
        <v>1.5</v>
      </c>
      <c r="F10" s="18">
        <v>2</v>
      </c>
      <c r="G10" s="18">
        <f>G32</f>
        <v>20</v>
      </c>
      <c r="H10" s="18">
        <f t="shared" si="3"/>
        <v>147</v>
      </c>
      <c r="I10" s="18">
        <f t="shared" si="0"/>
        <v>60</v>
      </c>
      <c r="J10" s="6">
        <v>10</v>
      </c>
      <c r="K10" s="18">
        <f t="shared" si="1"/>
        <v>200</v>
      </c>
      <c r="L10" s="21">
        <f>K10*44907/60-H10*O7</f>
        <v>100694.9</v>
      </c>
      <c r="N10" s="97"/>
      <c r="O10" s="91"/>
      <c r="P10" s="91"/>
      <c r="Q10" s="101"/>
      <c r="T10" s="11"/>
      <c r="U10" s="11"/>
      <c r="V10" s="11"/>
      <c r="W10" s="12"/>
    </row>
    <row r="11" spans="1:23" x14ac:dyDescent="0.3">
      <c r="A11" s="20" t="s">
        <v>156</v>
      </c>
      <c r="B11" s="18" t="s">
        <v>34</v>
      </c>
      <c r="C11" s="6">
        <v>12</v>
      </c>
      <c r="D11" s="18"/>
      <c r="E11" s="6"/>
      <c r="F11" s="18"/>
      <c r="G11" s="18">
        <f>G32</f>
        <v>20</v>
      </c>
      <c r="H11" s="18">
        <f>C11*3+D11*G11+E11*(F11)*G11</f>
        <v>36</v>
      </c>
      <c r="I11" s="18">
        <f t="shared" ref="I11" si="5">F11*G11*E11</f>
        <v>0</v>
      </c>
      <c r="J11" s="6"/>
      <c r="K11" s="18">
        <f t="shared" si="1"/>
        <v>0</v>
      </c>
      <c r="L11" s="21">
        <f>(K11*44907/60-H11*O7)</f>
        <v>-11998.800000000001</v>
      </c>
      <c r="N11" s="97"/>
      <c r="O11" s="91"/>
      <c r="P11" s="91"/>
      <c r="Q11" s="101"/>
      <c r="T11" s="11"/>
      <c r="U11" s="11"/>
      <c r="V11" s="11"/>
      <c r="W11" s="12"/>
    </row>
    <row r="12" spans="1:23" x14ac:dyDescent="0.3">
      <c r="A12" s="20" t="s">
        <v>71</v>
      </c>
      <c r="B12" s="18" t="s">
        <v>33</v>
      </c>
      <c r="C12" s="6">
        <v>10</v>
      </c>
      <c r="D12" s="18">
        <v>0.75</v>
      </c>
      <c r="E12" s="6">
        <v>1</v>
      </c>
      <c r="F12" s="18">
        <v>1</v>
      </c>
      <c r="G12" s="18">
        <f>G32</f>
        <v>20</v>
      </c>
      <c r="H12" s="18">
        <f t="shared" si="3"/>
        <v>75</v>
      </c>
      <c r="I12" s="18">
        <f t="shared" si="0"/>
        <v>20</v>
      </c>
      <c r="J12" s="6">
        <v>5</v>
      </c>
      <c r="K12" s="18">
        <f t="shared" si="1"/>
        <v>100</v>
      </c>
      <c r="L12" s="21">
        <f>K12*44907/60-H12*O7</f>
        <v>49847.5</v>
      </c>
      <c r="N12" s="97"/>
      <c r="O12" s="91"/>
      <c r="P12" s="91"/>
      <c r="Q12" s="101"/>
      <c r="T12" s="11"/>
      <c r="U12" s="11"/>
      <c r="V12" s="11"/>
      <c r="W12" s="12"/>
    </row>
    <row r="13" spans="1:23" x14ac:dyDescent="0.3">
      <c r="A13" s="20" t="s">
        <v>72</v>
      </c>
      <c r="B13" s="6" t="s">
        <v>33</v>
      </c>
      <c r="C13" s="6">
        <v>10</v>
      </c>
      <c r="D13" s="18"/>
      <c r="E13" s="6">
        <v>0.5</v>
      </c>
      <c r="F13" s="18">
        <v>1</v>
      </c>
      <c r="G13" s="18">
        <f>G32</f>
        <v>20</v>
      </c>
      <c r="H13" s="18">
        <f t="shared" si="3"/>
        <v>50</v>
      </c>
      <c r="I13" s="18">
        <f t="shared" si="0"/>
        <v>10</v>
      </c>
      <c r="J13" s="6">
        <v>5</v>
      </c>
      <c r="K13" s="18">
        <f t="shared" ref="K13:K16" si="6">G13*J13</f>
        <v>100</v>
      </c>
      <c r="L13" s="21">
        <f>K13*44907/60-H13*O7</f>
        <v>58180</v>
      </c>
      <c r="N13" s="97"/>
      <c r="O13" s="91"/>
      <c r="P13" s="91"/>
      <c r="Q13" s="91"/>
      <c r="T13" s="11"/>
      <c r="U13" s="11"/>
      <c r="V13" s="11"/>
      <c r="W13" s="12"/>
    </row>
    <row r="14" spans="1:23" x14ac:dyDescent="0.3">
      <c r="A14" s="20" t="s">
        <v>73</v>
      </c>
      <c r="B14" s="18" t="s">
        <v>34</v>
      </c>
      <c r="C14" s="6">
        <v>10</v>
      </c>
      <c r="D14" s="18"/>
      <c r="E14" s="6">
        <v>0.5</v>
      </c>
      <c r="F14" s="6">
        <v>1</v>
      </c>
      <c r="G14" s="18">
        <f>G32</f>
        <v>20</v>
      </c>
      <c r="H14" s="18">
        <f t="shared" si="3"/>
        <v>50</v>
      </c>
      <c r="I14" s="18">
        <f t="shared" si="0"/>
        <v>10</v>
      </c>
      <c r="J14" s="6">
        <v>5</v>
      </c>
      <c r="K14" s="18">
        <f t="shared" si="6"/>
        <v>100</v>
      </c>
      <c r="L14" s="21">
        <f>K14*44907/60-H14*O7</f>
        <v>58180</v>
      </c>
      <c r="N14" s="97" t="s">
        <v>131</v>
      </c>
      <c r="O14" s="91">
        <f>H25</f>
        <v>2489</v>
      </c>
      <c r="P14" s="92" t="s">
        <v>13</v>
      </c>
      <c r="Q14" s="102">
        <f>O14/O4</f>
        <v>1.0370833333333334</v>
      </c>
      <c r="T14" s="11"/>
      <c r="U14" s="11"/>
      <c r="V14" s="11"/>
      <c r="W14" s="12"/>
    </row>
    <row r="15" spans="1:23" x14ac:dyDescent="0.3">
      <c r="A15" s="20"/>
      <c r="B15" s="6"/>
      <c r="C15" s="6"/>
      <c r="D15" s="18"/>
      <c r="E15" s="6"/>
      <c r="F15" s="6"/>
      <c r="G15" s="18"/>
      <c r="H15" s="18">
        <f t="shared" si="3"/>
        <v>0</v>
      </c>
      <c r="I15" s="18">
        <f t="shared" si="0"/>
        <v>0</v>
      </c>
      <c r="J15" s="6"/>
      <c r="K15" s="18">
        <f t="shared" si="6"/>
        <v>0</v>
      </c>
      <c r="L15" s="21">
        <f>K15*44907/60-H15*O7</f>
        <v>0</v>
      </c>
      <c r="N15" s="97"/>
      <c r="O15" s="91"/>
      <c r="P15" s="92"/>
      <c r="Q15" s="102"/>
      <c r="T15" s="11"/>
      <c r="U15" s="11"/>
      <c r="V15" s="11"/>
      <c r="W15" s="12"/>
    </row>
    <row r="16" spans="1:23" x14ac:dyDescent="0.3">
      <c r="A16" s="20" t="s">
        <v>85</v>
      </c>
      <c r="B16" s="6" t="s">
        <v>34</v>
      </c>
      <c r="C16" s="6">
        <f>G32*40</f>
        <v>800</v>
      </c>
      <c r="D16" s="18"/>
      <c r="E16" s="6">
        <v>11.5</v>
      </c>
      <c r="F16" s="6">
        <v>1</v>
      </c>
      <c r="G16" s="18">
        <f>G32</f>
        <v>20</v>
      </c>
      <c r="H16" s="18">
        <f>C16+D16*G16+E16*(F16)*G16</f>
        <v>1030</v>
      </c>
      <c r="I16" s="18">
        <f t="shared" si="0"/>
        <v>230</v>
      </c>
      <c r="J16" s="6">
        <v>45</v>
      </c>
      <c r="K16" s="18">
        <f t="shared" si="6"/>
        <v>900</v>
      </c>
      <c r="L16" s="21">
        <f>K16*44907/60-H16*O7</f>
        <v>330306</v>
      </c>
      <c r="N16" s="97" t="s">
        <v>148</v>
      </c>
      <c r="O16" s="91">
        <f>C21+C22+C23</f>
        <v>320</v>
      </c>
      <c r="P16" s="92"/>
      <c r="Q16" s="102"/>
      <c r="T16" s="11"/>
      <c r="U16" s="11"/>
      <c r="V16" s="11"/>
      <c r="W16" s="12"/>
    </row>
    <row r="17" spans="1:23" x14ac:dyDescent="0.3">
      <c r="A17" s="20" t="s">
        <v>144</v>
      </c>
      <c r="B17" s="6" t="s">
        <v>34</v>
      </c>
      <c r="C17" s="6">
        <v>18</v>
      </c>
      <c r="D17" s="18"/>
      <c r="E17" s="6"/>
      <c r="F17" s="6"/>
      <c r="G17" s="18">
        <f>G32</f>
        <v>20</v>
      </c>
      <c r="H17" s="18">
        <f t="shared" ref="H17:H18" si="7">C17*4+D17*G17+E17*(F17)*G17</f>
        <v>72</v>
      </c>
      <c r="I17" s="18">
        <f t="shared" ref="I17:I18" si="8">F17*G17*E17</f>
        <v>0</v>
      </c>
      <c r="J17" s="6"/>
      <c r="K17" s="18">
        <f t="shared" ref="K17:K18" si="9">G17*J17</f>
        <v>0</v>
      </c>
      <c r="L17" s="21">
        <f>K17*44907/60-H17*O7</f>
        <v>-23997.600000000002</v>
      </c>
      <c r="N17" s="97"/>
      <c r="O17" s="91"/>
      <c r="P17" s="92"/>
      <c r="Q17" s="102"/>
      <c r="T17" s="11"/>
      <c r="U17" s="11"/>
      <c r="V17" s="11"/>
      <c r="W17" s="12"/>
    </row>
    <row r="18" spans="1:23" x14ac:dyDescent="0.3">
      <c r="A18" s="20"/>
      <c r="B18" s="6" t="s">
        <v>34</v>
      </c>
      <c r="C18" s="6"/>
      <c r="D18" s="18"/>
      <c r="E18" s="6"/>
      <c r="F18" s="6"/>
      <c r="G18" s="18"/>
      <c r="H18" s="18">
        <f t="shared" si="7"/>
        <v>0</v>
      </c>
      <c r="I18" s="18">
        <f t="shared" si="8"/>
        <v>0</v>
      </c>
      <c r="J18" s="6"/>
      <c r="K18" s="18">
        <f t="shared" si="9"/>
        <v>0</v>
      </c>
      <c r="L18" s="21">
        <f>K18*44907/60-H18*O7</f>
        <v>0</v>
      </c>
      <c r="N18" s="94" t="s">
        <v>150</v>
      </c>
      <c r="O18" s="94"/>
      <c r="P18" s="94"/>
      <c r="Q18" s="91"/>
      <c r="R18" s="25"/>
      <c r="S18" s="25"/>
      <c r="T18" s="11"/>
      <c r="U18" s="11"/>
      <c r="V18" s="11"/>
      <c r="W18" s="12"/>
    </row>
    <row r="19" spans="1:23" x14ac:dyDescent="0.3">
      <c r="A19" s="20" t="s">
        <v>145</v>
      </c>
      <c r="B19" s="6" t="s">
        <v>87</v>
      </c>
      <c r="C19" s="6">
        <v>28</v>
      </c>
      <c r="D19" s="18"/>
      <c r="E19" s="6"/>
      <c r="F19" s="6"/>
      <c r="G19" s="18">
        <f>G32</f>
        <v>20</v>
      </c>
      <c r="H19" s="18">
        <f>C19*4+D19*G19+E19*(F19)*G19</f>
        <v>112</v>
      </c>
      <c r="I19" s="18">
        <f>F19*G19*E19</f>
        <v>0</v>
      </c>
      <c r="J19" s="6"/>
      <c r="K19" s="18">
        <f t="shared" ref="K19:K24" si="10">G19*J19</f>
        <v>0</v>
      </c>
      <c r="L19" s="21">
        <f>K19*44907/60-H19*O7</f>
        <v>-37329.599999999999</v>
      </c>
      <c r="N19" s="96" t="s">
        <v>48</v>
      </c>
      <c r="O19" s="94"/>
      <c r="P19" s="94"/>
      <c r="Q19" s="102">
        <f>(H25)/847</f>
        <v>2.9386068476977569</v>
      </c>
    </row>
    <row r="20" spans="1:23" x14ac:dyDescent="0.3">
      <c r="A20" s="20"/>
      <c r="B20" s="6"/>
      <c r="C20" s="6"/>
      <c r="D20" s="18"/>
      <c r="E20" s="6"/>
      <c r="F20" s="6"/>
      <c r="G20" s="18"/>
      <c r="H20" s="18">
        <f>C20*4+D20*G20+E20*(F20)*G20</f>
        <v>0</v>
      </c>
      <c r="I20" s="18">
        <f>F20*G20*E20</f>
        <v>0</v>
      </c>
      <c r="J20" s="6"/>
      <c r="K20" s="18">
        <f t="shared" si="10"/>
        <v>0</v>
      </c>
      <c r="L20" s="21">
        <f>K20*44907/60-H20*O7</f>
        <v>0</v>
      </c>
      <c r="N20" s="96" t="s">
        <v>179</v>
      </c>
      <c r="O20" s="94"/>
      <c r="P20" s="94"/>
      <c r="Q20" s="101">
        <f>I16</f>
        <v>230</v>
      </c>
    </row>
    <row r="21" spans="1:23" x14ac:dyDescent="0.3">
      <c r="A21" s="90" t="s">
        <v>102</v>
      </c>
      <c r="B21" s="92"/>
      <c r="C21" s="92">
        <v>100</v>
      </c>
      <c r="D21" s="91"/>
      <c r="E21" s="92"/>
      <c r="F21" s="92"/>
      <c r="G21" s="91"/>
      <c r="H21" s="91">
        <f>C21*1</f>
        <v>100</v>
      </c>
      <c r="I21" s="91">
        <f>F21*G21*E21</f>
        <v>0</v>
      </c>
      <c r="J21" s="92"/>
      <c r="K21" s="91">
        <f t="shared" si="10"/>
        <v>0</v>
      </c>
      <c r="L21" s="93">
        <f>(K21*44907/60-H21*O7)</f>
        <v>-33330</v>
      </c>
      <c r="N21" s="92"/>
      <c r="O21" s="103"/>
      <c r="P21" s="94"/>
      <c r="Q21" s="104"/>
    </row>
    <row r="22" spans="1:23" s="30" customFormat="1" x14ac:dyDescent="0.3">
      <c r="A22" s="90" t="s">
        <v>103</v>
      </c>
      <c r="B22" s="92"/>
      <c r="C22" s="92">
        <v>100</v>
      </c>
      <c r="D22" s="91"/>
      <c r="E22" s="92"/>
      <c r="F22" s="92"/>
      <c r="G22" s="91"/>
      <c r="H22" s="91">
        <f>C22*1</f>
        <v>100</v>
      </c>
      <c r="I22" s="91">
        <f>F22*G22*E22</f>
        <v>0</v>
      </c>
      <c r="J22" s="92"/>
      <c r="K22" s="91">
        <f t="shared" si="10"/>
        <v>0</v>
      </c>
      <c r="L22" s="93">
        <f>(K22*44907/60-H22*O7)</f>
        <v>-33330</v>
      </c>
      <c r="M22" s="29"/>
      <c r="N22" s="96" t="s">
        <v>109</v>
      </c>
      <c r="O22" s="103">
        <v>44907</v>
      </c>
      <c r="P22" s="92" t="s">
        <v>108</v>
      </c>
      <c r="Q22" s="104">
        <f>(Q4*O22*2)</f>
        <v>1796280</v>
      </c>
    </row>
    <row r="23" spans="1:23" x14ac:dyDescent="0.3">
      <c r="A23" s="90" t="s">
        <v>114</v>
      </c>
      <c r="B23" s="92"/>
      <c r="C23" s="92">
        <f>(J25-J16-15)*2</f>
        <v>120</v>
      </c>
      <c r="D23" s="91"/>
      <c r="E23" s="92"/>
      <c r="F23" s="92"/>
      <c r="G23" s="91"/>
      <c r="H23" s="91">
        <f>C23*1</f>
        <v>120</v>
      </c>
      <c r="I23" s="91">
        <f>F23*G23*E23</f>
        <v>0</v>
      </c>
      <c r="J23" s="92"/>
      <c r="K23" s="91">
        <f t="shared" si="10"/>
        <v>0</v>
      </c>
      <c r="L23" s="93">
        <f>(K23*44907/60-H23*O7)</f>
        <v>-39996</v>
      </c>
      <c r="N23" s="96"/>
      <c r="O23" s="103"/>
      <c r="P23" s="92"/>
      <c r="Q23" s="104"/>
    </row>
    <row r="24" spans="1:23" x14ac:dyDescent="0.3">
      <c r="A24" s="20"/>
      <c r="B24" s="6"/>
      <c r="C24" s="6"/>
      <c r="D24" s="18"/>
      <c r="E24" s="6"/>
      <c r="F24" s="6"/>
      <c r="G24" s="18"/>
      <c r="H24" s="18">
        <f t="shared" si="3"/>
        <v>0</v>
      </c>
      <c r="I24" s="18">
        <f t="shared" si="0"/>
        <v>0</v>
      </c>
      <c r="J24" s="6"/>
      <c r="K24" s="18">
        <f t="shared" si="10"/>
        <v>0</v>
      </c>
      <c r="L24" s="21">
        <f>K24*44907/60-H24*323.7</f>
        <v>0</v>
      </c>
      <c r="N24" s="96" t="s">
        <v>111</v>
      </c>
      <c r="O24" s="103">
        <v>25344</v>
      </c>
      <c r="P24" s="92" t="s">
        <v>143</v>
      </c>
      <c r="Q24" s="104">
        <f>(Q4*25344)</f>
        <v>506880</v>
      </c>
    </row>
    <row r="25" spans="1:23" x14ac:dyDescent="0.3">
      <c r="A25" s="33" t="s">
        <v>15</v>
      </c>
      <c r="B25" s="34"/>
      <c r="C25" s="35">
        <f>SUM(C5:C23)*4</f>
        <v>5412</v>
      </c>
      <c r="D25" s="34"/>
      <c r="E25" s="35"/>
      <c r="F25" s="34"/>
      <c r="G25" s="34">
        <f t="shared" ref="G25:L25" si="11">SUM(G5:G23)</f>
        <v>260</v>
      </c>
      <c r="H25" s="34">
        <f t="shared" si="11"/>
        <v>2489</v>
      </c>
      <c r="I25" s="34">
        <f t="shared" si="11"/>
        <v>470</v>
      </c>
      <c r="J25" s="34">
        <f>SUM(J5:J23)+15</f>
        <v>120</v>
      </c>
      <c r="K25" s="34">
        <f>SUM(K5:K23)+(15*G32)</f>
        <v>2400</v>
      </c>
      <c r="L25" s="34">
        <f t="shared" si="11"/>
        <v>742161.3</v>
      </c>
      <c r="N25" s="96" t="s">
        <v>164</v>
      </c>
      <c r="O25" s="103">
        <f>(O22*2)+O24</f>
        <v>115158</v>
      </c>
      <c r="P25" s="94"/>
      <c r="Q25" s="94"/>
    </row>
    <row r="26" spans="1:23" x14ac:dyDescent="0.3">
      <c r="A26" s="13" t="s">
        <v>16</v>
      </c>
      <c r="B26" s="14"/>
      <c r="C26" s="14"/>
      <c r="D26" s="14"/>
      <c r="E26" s="14"/>
      <c r="F26" s="14"/>
      <c r="G26" s="14"/>
      <c r="H26" s="14"/>
      <c r="I26" s="14"/>
      <c r="J26" s="14"/>
      <c r="K26" s="14"/>
      <c r="L26" s="15"/>
      <c r="N26" s="94" t="s">
        <v>110</v>
      </c>
      <c r="O26" s="94"/>
      <c r="P26" s="94"/>
      <c r="Q26" s="104">
        <f>SUM(Q22:Q25)</f>
        <v>2303160</v>
      </c>
    </row>
    <row r="27" spans="1:23" x14ac:dyDescent="0.3">
      <c r="A27" s="13"/>
      <c r="B27" s="14"/>
      <c r="C27" s="14"/>
      <c r="D27" s="14"/>
      <c r="E27" s="14"/>
      <c r="F27" s="14"/>
      <c r="G27" s="14"/>
      <c r="H27" s="14"/>
      <c r="I27" s="14"/>
      <c r="J27" s="14"/>
      <c r="K27" s="14"/>
      <c r="L27" s="15"/>
    </row>
    <row r="28" spans="1:23" x14ac:dyDescent="0.3">
      <c r="A28" s="13"/>
      <c r="B28" s="14"/>
      <c r="C28" s="14"/>
      <c r="D28" s="14"/>
      <c r="E28" s="14"/>
      <c r="F28" s="14"/>
      <c r="G28" s="14"/>
      <c r="H28" s="14"/>
      <c r="I28" s="14"/>
      <c r="J28" s="14"/>
      <c r="K28" s="14"/>
      <c r="L28" s="15"/>
      <c r="N28" s="167"/>
      <c r="O28" s="11"/>
      <c r="P28" s="11"/>
      <c r="Q28" s="11"/>
    </row>
    <row r="29" spans="1:23" x14ac:dyDescent="0.3">
      <c r="A29" s="13"/>
      <c r="B29" s="14"/>
      <c r="C29" s="14"/>
      <c r="D29" s="14"/>
      <c r="E29" s="14"/>
      <c r="F29" s="14"/>
      <c r="G29" s="14"/>
      <c r="H29" s="14"/>
      <c r="I29" s="14"/>
      <c r="J29" s="14"/>
      <c r="K29" s="14"/>
      <c r="L29" s="15"/>
      <c r="N29" s="11"/>
      <c r="O29" s="11"/>
      <c r="P29" s="11"/>
      <c r="Q29" s="11"/>
    </row>
    <row r="30" spans="1:23" ht="13.5" thickBot="1" x14ac:dyDescent="0.35">
      <c r="A30" s="40"/>
      <c r="B30" s="41"/>
      <c r="C30" s="41"/>
      <c r="D30" s="42"/>
      <c r="E30" s="42"/>
      <c r="F30" s="42"/>
      <c r="G30" s="42"/>
      <c r="H30" s="18"/>
      <c r="I30" s="18"/>
      <c r="J30" s="42"/>
      <c r="K30" s="42"/>
      <c r="L30" s="43"/>
      <c r="N30" s="178"/>
      <c r="O30" s="11"/>
      <c r="P30" s="11"/>
      <c r="Q30" s="11"/>
    </row>
    <row r="31" spans="1:23" x14ac:dyDescent="0.3">
      <c r="A31" s="20"/>
      <c r="B31" s="6"/>
      <c r="C31" s="6"/>
      <c r="D31" s="18"/>
      <c r="E31" s="18"/>
      <c r="F31" s="18"/>
      <c r="G31" s="18"/>
      <c r="H31" s="18"/>
      <c r="I31" s="18"/>
      <c r="J31" s="18"/>
      <c r="K31" s="18"/>
      <c r="L31" s="21"/>
      <c r="N31" s="178"/>
      <c r="O31" s="11"/>
      <c r="P31" s="11"/>
      <c r="Q31" s="11"/>
    </row>
    <row r="32" spans="1:23" x14ac:dyDescent="0.3">
      <c r="A32" s="64"/>
      <c r="B32" s="6"/>
      <c r="C32" s="6" t="s">
        <v>141</v>
      </c>
      <c r="D32" s="18"/>
      <c r="E32" s="18"/>
      <c r="F32" s="18"/>
      <c r="G32" s="18">
        <v>20</v>
      </c>
      <c r="H32" s="18"/>
      <c r="I32" s="18"/>
      <c r="J32" s="18"/>
      <c r="K32" s="18"/>
      <c r="L32" s="65"/>
      <c r="N32" s="178"/>
      <c r="O32" s="11"/>
      <c r="P32" s="11"/>
      <c r="Q32" s="11"/>
    </row>
    <row r="33" spans="1:24" x14ac:dyDescent="0.3">
      <c r="A33" s="64"/>
      <c r="B33" s="18"/>
      <c r="C33" s="6"/>
      <c r="D33" s="18"/>
      <c r="E33" s="6"/>
      <c r="F33" s="18"/>
      <c r="G33" s="18"/>
      <c r="H33" s="18"/>
      <c r="I33" s="18"/>
      <c r="J33" s="6"/>
      <c r="K33" s="18"/>
      <c r="L33" s="65"/>
      <c r="N33" s="53"/>
      <c r="O33" s="6"/>
      <c r="P33" s="6"/>
      <c r="Q33" s="179"/>
      <c r="R33" s="67"/>
      <c r="S33" s="18"/>
      <c r="T33" s="18"/>
      <c r="U33" s="18"/>
      <c r="V33" s="18"/>
      <c r="W33" s="18"/>
      <c r="X33" s="47"/>
    </row>
    <row r="34" spans="1:24" x14ac:dyDescent="0.3">
      <c r="A34" s="64"/>
      <c r="B34" s="18"/>
      <c r="C34" s="6"/>
      <c r="D34" s="18"/>
      <c r="E34" s="6"/>
      <c r="F34" s="18"/>
      <c r="G34" s="18"/>
      <c r="H34" s="18"/>
      <c r="I34" s="18"/>
      <c r="J34" s="6"/>
      <c r="K34" s="18"/>
      <c r="L34" s="65"/>
      <c r="N34" s="53"/>
      <c r="O34" s="6"/>
      <c r="P34" s="6"/>
      <c r="Q34" s="179"/>
      <c r="R34" s="67"/>
      <c r="S34" s="18"/>
      <c r="T34" s="18"/>
      <c r="U34" s="18"/>
      <c r="V34" s="18"/>
      <c r="W34" s="18"/>
      <c r="X34" s="47"/>
    </row>
    <row r="35" spans="1:24" ht="14.5" x14ac:dyDescent="0.35">
      <c r="A35" s="64"/>
      <c r="B35" s="18"/>
      <c r="C35" s="71" t="s">
        <v>19</v>
      </c>
      <c r="D35" s="80"/>
      <c r="E35" s="81"/>
      <c r="F35" s="81"/>
      <c r="G35" s="81"/>
      <c r="H35" s="81"/>
      <c r="I35" s="81"/>
      <c r="J35" s="81"/>
      <c r="K35" s="81"/>
      <c r="L35" s="82"/>
      <c r="N35" s="53"/>
      <c r="O35" s="6"/>
      <c r="P35" s="6"/>
      <c r="Q35" s="179"/>
      <c r="R35" s="67"/>
      <c r="S35" s="18"/>
      <c r="T35" s="18"/>
      <c r="U35" s="18"/>
      <c r="V35" s="18"/>
      <c r="W35" s="18"/>
      <c r="X35" s="47"/>
    </row>
    <row r="36" spans="1:24" x14ac:dyDescent="0.3">
      <c r="A36" s="64"/>
      <c r="B36" s="18"/>
      <c r="C36" s="171" t="s">
        <v>193</v>
      </c>
      <c r="D36" s="172"/>
      <c r="E36" s="173"/>
      <c r="F36" s="173"/>
      <c r="G36" s="173"/>
      <c r="H36" s="173"/>
      <c r="I36" s="173"/>
      <c r="J36" s="173"/>
      <c r="K36" s="173"/>
      <c r="L36" s="174"/>
      <c r="N36" s="11"/>
      <c r="O36" s="6"/>
      <c r="P36" s="6"/>
      <c r="Q36" s="179"/>
      <c r="R36" s="67"/>
      <c r="S36" s="18"/>
      <c r="T36" s="18"/>
      <c r="U36" s="18"/>
      <c r="V36" s="18"/>
      <c r="W36" s="18"/>
      <c r="X36" s="47"/>
    </row>
    <row r="37" spans="1:24" x14ac:dyDescent="0.3">
      <c r="A37" s="64"/>
      <c r="B37" s="6"/>
      <c r="C37" s="175"/>
      <c r="D37" s="173"/>
      <c r="E37" s="173"/>
      <c r="F37" s="173"/>
      <c r="G37" s="173"/>
      <c r="H37" s="173"/>
      <c r="I37" s="173"/>
      <c r="J37" s="173"/>
      <c r="K37" s="173"/>
      <c r="L37" s="174"/>
      <c r="N37" s="178"/>
      <c r="O37" s="6"/>
      <c r="P37" s="6"/>
      <c r="Q37" s="180"/>
      <c r="R37" s="67"/>
      <c r="S37" s="18"/>
      <c r="T37" s="18"/>
      <c r="U37" s="18"/>
      <c r="V37" s="18"/>
      <c r="W37" s="18"/>
      <c r="X37" s="47"/>
    </row>
    <row r="38" spans="1:24" s="30" customFormat="1" x14ac:dyDescent="0.3">
      <c r="A38" s="64"/>
      <c r="B38" s="18"/>
      <c r="C38" s="175"/>
      <c r="D38" s="173"/>
      <c r="E38" s="173"/>
      <c r="F38" s="173"/>
      <c r="G38" s="173"/>
      <c r="H38" s="173"/>
      <c r="I38" s="173"/>
      <c r="J38" s="173"/>
      <c r="K38" s="173"/>
      <c r="L38" s="174"/>
      <c r="M38" s="29"/>
      <c r="N38" s="178"/>
      <c r="O38" s="11"/>
      <c r="P38" s="11"/>
      <c r="Q38" s="179"/>
      <c r="R38" s="84"/>
      <c r="S38" s="25"/>
      <c r="T38" s="25"/>
      <c r="U38" s="25"/>
      <c r="V38" s="25"/>
      <c r="W38" s="25"/>
      <c r="X38" s="25"/>
    </row>
    <row r="39" spans="1:24" x14ac:dyDescent="0.3">
      <c r="A39" s="64"/>
      <c r="B39" s="6"/>
      <c r="C39" s="175"/>
      <c r="D39" s="173"/>
      <c r="E39" s="173"/>
      <c r="F39" s="173"/>
      <c r="G39" s="173"/>
      <c r="H39" s="173"/>
      <c r="I39" s="173"/>
      <c r="J39" s="173"/>
      <c r="K39" s="173"/>
      <c r="L39" s="174"/>
      <c r="N39" s="49"/>
      <c r="O39" s="6"/>
      <c r="P39" s="6"/>
      <c r="Q39" s="179"/>
      <c r="R39" s="67"/>
      <c r="S39" s="18"/>
      <c r="T39" s="18"/>
      <c r="U39" s="18"/>
      <c r="V39" s="18"/>
      <c r="W39" s="18"/>
      <c r="X39" s="47"/>
    </row>
    <row r="40" spans="1:24" x14ac:dyDescent="0.3">
      <c r="A40" s="64"/>
      <c r="B40" s="6"/>
      <c r="C40" s="175"/>
      <c r="D40" s="173"/>
      <c r="E40" s="173"/>
      <c r="F40" s="173"/>
      <c r="G40" s="173"/>
      <c r="H40" s="173"/>
      <c r="I40" s="173"/>
      <c r="J40" s="173"/>
      <c r="K40" s="173"/>
      <c r="L40" s="174"/>
      <c r="N40" s="178"/>
      <c r="O40" s="6"/>
      <c r="P40" s="6"/>
      <c r="Q40" s="179"/>
      <c r="R40" s="18"/>
      <c r="S40" s="18"/>
      <c r="T40" s="18"/>
      <c r="U40" s="18"/>
      <c r="V40" s="18"/>
      <c r="W40" s="18"/>
      <c r="X40" s="47"/>
    </row>
    <row r="41" spans="1:24" x14ac:dyDescent="0.3">
      <c r="A41" s="64"/>
      <c r="B41" s="6"/>
      <c r="C41" s="175"/>
      <c r="D41" s="173"/>
      <c r="E41" s="173"/>
      <c r="F41" s="173"/>
      <c r="G41" s="173"/>
      <c r="H41" s="173"/>
      <c r="I41" s="173"/>
      <c r="J41" s="173"/>
      <c r="K41" s="173"/>
      <c r="L41" s="174"/>
      <c r="N41" s="11"/>
      <c r="O41" s="6"/>
      <c r="P41" s="6"/>
      <c r="Q41" s="179"/>
      <c r="R41" s="18"/>
      <c r="S41" s="18"/>
      <c r="T41" s="18"/>
      <c r="U41" s="18"/>
      <c r="V41" s="18"/>
      <c r="W41" s="18"/>
      <c r="X41" s="47"/>
    </row>
    <row r="42" spans="1:24" x14ac:dyDescent="0.3">
      <c r="A42" s="64"/>
      <c r="B42" s="6"/>
      <c r="C42" s="175"/>
      <c r="D42" s="173"/>
      <c r="E42" s="173"/>
      <c r="F42" s="173"/>
      <c r="G42" s="173"/>
      <c r="H42" s="173"/>
      <c r="I42" s="173"/>
      <c r="J42" s="173"/>
      <c r="K42" s="173"/>
      <c r="L42" s="174"/>
      <c r="N42" s="53"/>
      <c r="O42" s="6"/>
      <c r="P42" s="6"/>
      <c r="Q42" s="6"/>
      <c r="R42" s="18"/>
      <c r="S42" s="18"/>
      <c r="T42" s="18"/>
      <c r="U42" s="18"/>
      <c r="V42" s="51"/>
      <c r="W42" s="51"/>
      <c r="X42" s="52"/>
    </row>
    <row r="43" spans="1:24" s="30" customFormat="1" x14ac:dyDescent="0.3">
      <c r="A43" s="64"/>
      <c r="B43" s="6"/>
      <c r="C43" s="175"/>
      <c r="D43" s="173"/>
      <c r="E43" s="173"/>
      <c r="F43" s="173"/>
      <c r="G43" s="173"/>
      <c r="H43" s="173"/>
      <c r="I43" s="173"/>
      <c r="J43" s="173"/>
      <c r="K43" s="173"/>
      <c r="L43" s="174"/>
      <c r="M43" s="29"/>
      <c r="N43" s="53"/>
      <c r="O43" s="25"/>
      <c r="P43" s="25"/>
      <c r="Q43" s="25"/>
      <c r="R43" s="18"/>
      <c r="S43" s="18"/>
      <c r="T43" s="18"/>
      <c r="U43" s="18"/>
      <c r="V43" s="51"/>
      <c r="W43" s="51"/>
      <c r="X43" s="52"/>
    </row>
    <row r="44" spans="1:24" ht="14.5" x14ac:dyDescent="0.35">
      <c r="A44" s="64"/>
      <c r="B44" s="6"/>
      <c r="C44" s="72"/>
      <c r="D44" s="73"/>
      <c r="E44" s="6"/>
      <c r="F44" s="6"/>
      <c r="G44" s="18"/>
      <c r="H44" s="18"/>
      <c r="I44" s="18"/>
      <c r="J44" s="6"/>
      <c r="K44" s="18"/>
      <c r="L44" s="74"/>
      <c r="N44" s="54"/>
      <c r="O44" s="25"/>
      <c r="P44" s="25"/>
      <c r="Q44" s="25"/>
      <c r="R44" s="25"/>
      <c r="S44" s="25"/>
      <c r="T44" s="25"/>
      <c r="U44" s="25"/>
    </row>
    <row r="45" spans="1:24" ht="14.5" x14ac:dyDescent="0.35">
      <c r="A45" s="64"/>
      <c r="B45" s="6"/>
      <c r="C45" s="75"/>
      <c r="D45" s="76"/>
      <c r="E45" s="77"/>
      <c r="F45" s="77"/>
      <c r="G45" s="78"/>
      <c r="H45" s="78"/>
      <c r="I45" s="78"/>
      <c r="J45" s="77"/>
      <c r="K45" s="78"/>
      <c r="L45" s="79"/>
      <c r="R45" s="30"/>
      <c r="S45" s="30"/>
      <c r="T45" s="30"/>
      <c r="U45" s="30"/>
      <c r="V45" s="30"/>
      <c r="W45" s="30"/>
      <c r="X45" s="30"/>
    </row>
    <row r="46" spans="1:24" ht="13.5" thickBot="1" x14ac:dyDescent="0.35">
      <c r="A46" s="64" t="s">
        <v>152</v>
      </c>
      <c r="B46" s="6"/>
      <c r="C46" s="6"/>
      <c r="D46" s="18"/>
      <c r="E46" s="6"/>
      <c r="F46" s="6"/>
      <c r="G46" s="18"/>
      <c r="H46" s="18"/>
      <c r="I46" s="18"/>
      <c r="J46" s="6"/>
      <c r="K46" s="18"/>
      <c r="L46" s="65"/>
    </row>
    <row r="47" spans="1:24" x14ac:dyDescent="0.3">
      <c r="A47" s="3" t="s">
        <v>0</v>
      </c>
      <c r="B47" s="4" t="s">
        <v>1</v>
      </c>
      <c r="C47" s="4" t="s">
        <v>2</v>
      </c>
      <c r="D47" s="4" t="s">
        <v>44</v>
      </c>
      <c r="E47" s="59" t="s">
        <v>45</v>
      </c>
      <c r="F47" s="4" t="s">
        <v>3</v>
      </c>
      <c r="G47" s="4" t="s">
        <v>4</v>
      </c>
      <c r="H47" s="4" t="s">
        <v>5</v>
      </c>
      <c r="I47" s="4" t="s">
        <v>100</v>
      </c>
      <c r="J47" s="4" t="s">
        <v>6</v>
      </c>
      <c r="K47" s="4" t="s">
        <v>7</v>
      </c>
      <c r="L47" s="5" t="s">
        <v>8</v>
      </c>
      <c r="M47" s="6"/>
      <c r="N47" s="7" t="s">
        <v>157</v>
      </c>
      <c r="O47" s="8"/>
      <c r="P47" s="9"/>
      <c r="Q47" s="10"/>
      <c r="T47" s="11"/>
      <c r="U47" s="11"/>
      <c r="V47" s="11"/>
      <c r="W47" s="12"/>
    </row>
    <row r="48" spans="1:24" s="30" customFormat="1" x14ac:dyDescent="0.3">
      <c r="A48" s="90" t="s">
        <v>32</v>
      </c>
      <c r="B48" s="92" t="s">
        <v>12</v>
      </c>
      <c r="C48" s="92">
        <v>40</v>
      </c>
      <c r="D48" s="91">
        <v>0.5</v>
      </c>
      <c r="E48" s="92">
        <v>1.5</v>
      </c>
      <c r="F48" s="92">
        <v>2</v>
      </c>
      <c r="G48" s="91">
        <v>40</v>
      </c>
      <c r="H48" s="91">
        <f t="shared" ref="H48" si="12">C48*4+D48*G48+E48*(F48)*G48</f>
        <v>300</v>
      </c>
      <c r="I48" s="91">
        <f t="shared" ref="I48:I49" si="13">F48*G48*E48</f>
        <v>120</v>
      </c>
      <c r="J48" s="92">
        <v>20</v>
      </c>
      <c r="K48" s="91">
        <f t="shared" ref="K48" si="14">G48*J48</f>
        <v>800</v>
      </c>
      <c r="L48" s="93">
        <f t="shared" ref="L48:L49" si="15">K48*29000/60-H48*323.7</f>
        <v>289556.66666666669</v>
      </c>
      <c r="M48" s="29"/>
      <c r="N48" s="17" t="s">
        <v>154</v>
      </c>
      <c r="O48" s="27"/>
      <c r="P48" s="6"/>
      <c r="Q48" s="28">
        <f>K50/60</f>
        <v>18.333333333333332</v>
      </c>
    </row>
    <row r="49" spans="1:17" x14ac:dyDescent="0.3">
      <c r="A49" s="90" t="s">
        <v>167</v>
      </c>
      <c r="B49" s="92" t="s">
        <v>11</v>
      </c>
      <c r="C49" s="92">
        <v>8</v>
      </c>
      <c r="D49" s="91">
        <v>1.75</v>
      </c>
      <c r="E49" s="92">
        <v>3.5</v>
      </c>
      <c r="F49" s="92">
        <v>2</v>
      </c>
      <c r="G49" s="91">
        <v>10</v>
      </c>
      <c r="H49" s="91">
        <f>C49*4+D49*G49+E49*(F49)*G49</f>
        <v>119.5</v>
      </c>
      <c r="I49" s="91">
        <f t="shared" si="13"/>
        <v>70</v>
      </c>
      <c r="J49" s="92">
        <v>30</v>
      </c>
      <c r="K49" s="91">
        <f>G49*J49</f>
        <v>300</v>
      </c>
      <c r="L49" s="93">
        <f t="shared" si="15"/>
        <v>106317.85</v>
      </c>
      <c r="N49" s="17" t="s">
        <v>107</v>
      </c>
      <c r="O49" s="27"/>
      <c r="P49" s="6"/>
      <c r="Q49" s="28">
        <f>H50</f>
        <v>419.5</v>
      </c>
    </row>
    <row r="50" spans="1:17" ht="13.5" thickBot="1" x14ac:dyDescent="0.35">
      <c r="A50" s="33" t="s">
        <v>15</v>
      </c>
      <c r="B50" s="34"/>
      <c r="C50" s="35">
        <f>SUM(C48:C49)*4</f>
        <v>192</v>
      </c>
      <c r="D50" s="34"/>
      <c r="E50" s="35"/>
      <c r="F50" s="34"/>
      <c r="G50" s="34">
        <f t="shared" ref="G50:L50" si="16">SUM(G48:G49)</f>
        <v>50</v>
      </c>
      <c r="H50" s="34">
        <f t="shared" si="16"/>
        <v>419.5</v>
      </c>
      <c r="I50" s="34">
        <f t="shared" si="16"/>
        <v>190</v>
      </c>
      <c r="J50" s="34">
        <f t="shared" si="16"/>
        <v>50</v>
      </c>
      <c r="K50" s="34">
        <f t="shared" si="16"/>
        <v>1100</v>
      </c>
      <c r="L50" s="88">
        <f t="shared" si="16"/>
        <v>395874.51666666672</v>
      </c>
      <c r="N50" s="24" t="s">
        <v>158</v>
      </c>
      <c r="O50" s="37"/>
      <c r="P50" s="38"/>
      <c r="Q50" s="163">
        <f>(Q49)/847</f>
        <v>0.49527744982290439</v>
      </c>
    </row>
    <row r="51" spans="1:17" x14ac:dyDescent="0.3">
      <c r="A51" s="64"/>
      <c r="B51" s="6"/>
      <c r="C51" s="6"/>
      <c r="D51" s="18"/>
      <c r="E51" s="6"/>
      <c r="F51" s="6"/>
      <c r="G51" s="18"/>
      <c r="H51" s="18"/>
      <c r="I51" s="18"/>
      <c r="J51" s="6"/>
      <c r="K51" s="18"/>
      <c r="L51" s="65"/>
      <c r="N51" s="96"/>
    </row>
    <row r="52" spans="1:17" x14ac:dyDescent="0.3">
      <c r="A52" s="64"/>
      <c r="B52" s="6"/>
      <c r="C52" s="6"/>
      <c r="D52" s="18"/>
      <c r="E52" s="6"/>
      <c r="F52" s="6"/>
      <c r="G52" s="18"/>
      <c r="H52" s="18"/>
      <c r="I52" s="18"/>
      <c r="J52" s="6"/>
      <c r="K52" s="18"/>
      <c r="L52" s="65"/>
    </row>
    <row r="53" spans="1:17" x14ac:dyDescent="0.3">
      <c r="A53" s="64"/>
      <c r="B53" s="6"/>
      <c r="C53" s="6"/>
      <c r="D53" s="18"/>
      <c r="E53" s="6"/>
      <c r="F53" s="6"/>
      <c r="G53" s="18"/>
      <c r="H53" s="18"/>
      <c r="I53" s="18"/>
      <c r="J53" s="6"/>
      <c r="K53" s="18"/>
      <c r="L53" s="65"/>
    </row>
    <row r="54" spans="1:17" ht="15.5" x14ac:dyDescent="0.35">
      <c r="A54" s="66"/>
      <c r="B54" s="34"/>
      <c r="C54" s="185"/>
      <c r="D54" s="186"/>
      <c r="E54" s="187"/>
      <c r="F54" s="187"/>
      <c r="G54" s="187"/>
      <c r="H54" s="187"/>
      <c r="I54"/>
      <c r="J54" s="34"/>
      <c r="K54" s="34"/>
      <c r="L54" s="65"/>
    </row>
    <row r="55" spans="1:17" ht="14.5" x14ac:dyDescent="0.35">
      <c r="A55" s="68"/>
      <c r="B55" s="69"/>
      <c r="C55" s="187"/>
      <c r="D55" s="187"/>
      <c r="E55" s="187"/>
      <c r="F55" s="187"/>
      <c r="G55" s="187"/>
      <c r="H55" s="187"/>
      <c r="I55"/>
      <c r="J55" s="69"/>
      <c r="K55" s="69"/>
      <c r="L55" s="70"/>
    </row>
    <row r="56" spans="1:17" ht="14.5" x14ac:dyDescent="0.35">
      <c r="A56" s="64"/>
      <c r="B56" s="6"/>
      <c r="C56" s="188"/>
      <c r="D56" s="187"/>
      <c r="E56" s="187"/>
      <c r="F56" s="187"/>
      <c r="G56" s="187"/>
      <c r="H56" s="187"/>
      <c r="I56"/>
      <c r="J56" s="18"/>
      <c r="K56" s="18"/>
      <c r="L56" s="65"/>
    </row>
    <row r="57" spans="1:17" ht="14.5" x14ac:dyDescent="0.35">
      <c r="C57" s="188"/>
      <c r="D57" s="186"/>
      <c r="E57" s="187"/>
      <c r="F57" s="187"/>
      <c r="G57" s="187"/>
      <c r="H57" s="187"/>
      <c r="I57"/>
    </row>
    <row r="58" spans="1:17" ht="14.5" x14ac:dyDescent="0.35">
      <c r="C58" s="186"/>
      <c r="D58" s="189"/>
      <c r="E58" s="190"/>
      <c r="F58" s="190"/>
      <c r="G58" s="190"/>
      <c r="H58" s="190"/>
      <c r="I58"/>
    </row>
    <row r="59" spans="1:17" ht="14.5" x14ac:dyDescent="0.35">
      <c r="C59" s="191"/>
      <c r="D59" s="192"/>
      <c r="E59" s="191"/>
      <c r="F59" s="191"/>
      <c r="G59" s="191"/>
      <c r="H59" s="191"/>
      <c r="I59"/>
    </row>
    <row r="60" spans="1:17" ht="14.5" x14ac:dyDescent="0.35">
      <c r="C60" s="187"/>
      <c r="D60" s="193"/>
      <c r="E60" s="187"/>
      <c r="F60" s="187"/>
      <c r="G60" s="187"/>
      <c r="H60" s="187"/>
      <c r="I60"/>
    </row>
    <row r="61" spans="1:17" ht="14.5" x14ac:dyDescent="0.35">
      <c r="C61" s="194"/>
      <c r="D61" s="193"/>
      <c r="E61" s="186"/>
      <c r="F61" s="186"/>
      <c r="G61" s="186"/>
      <c r="H61" s="186"/>
      <c r="I61" s="120"/>
    </row>
    <row r="62" spans="1:17" ht="14.5" x14ac:dyDescent="0.35">
      <c r="C62" s="194"/>
      <c r="D62" s="193"/>
      <c r="E62" s="186"/>
      <c r="F62" s="186"/>
      <c r="G62" s="186"/>
      <c r="H62" s="186"/>
      <c r="I62"/>
      <c r="O62" s="57"/>
    </row>
    <row r="63" spans="1:17" ht="14.5" x14ac:dyDescent="0.35">
      <c r="C63" s="187"/>
      <c r="D63" s="193"/>
      <c r="E63" s="187"/>
      <c r="F63" s="187"/>
      <c r="G63" s="187"/>
      <c r="H63" s="187"/>
      <c r="I63"/>
    </row>
    <row r="64" spans="1:17" ht="14.5" x14ac:dyDescent="0.35">
      <c r="C64" s="187"/>
      <c r="D64" s="193"/>
      <c r="E64" s="187"/>
      <c r="F64" s="187"/>
      <c r="G64" s="187"/>
      <c r="H64" s="187"/>
      <c r="I64"/>
    </row>
    <row r="65" spans="1:13" s="30" customFormat="1" ht="14.5" x14ac:dyDescent="0.35">
      <c r="A65" s="56"/>
      <c r="B65" s="51"/>
      <c r="C65" s="195"/>
      <c r="D65" s="193"/>
      <c r="E65" s="196"/>
      <c r="F65" s="196"/>
      <c r="G65" s="196"/>
      <c r="H65" s="197"/>
      <c r="I65"/>
      <c r="J65" s="51"/>
      <c r="K65" s="51"/>
      <c r="L65" s="52"/>
      <c r="M65" s="29"/>
    </row>
    <row r="66" spans="1:13" ht="14.5" x14ac:dyDescent="0.35">
      <c r="C66" s="198"/>
      <c r="D66" s="193"/>
      <c r="E66" s="186"/>
      <c r="F66" s="186"/>
      <c r="G66" s="186"/>
      <c r="H66" s="186"/>
      <c r="I66"/>
    </row>
    <row r="67" spans="1:13" ht="14.5" x14ac:dyDescent="0.35">
      <c r="C67" s="187"/>
      <c r="D67" s="193"/>
      <c r="E67" s="187"/>
      <c r="F67" s="187"/>
      <c r="G67" s="187"/>
      <c r="H67" s="187"/>
      <c r="I67"/>
    </row>
    <row r="68" spans="1:13" ht="14.5" x14ac:dyDescent="0.35">
      <c r="C68" s="191"/>
      <c r="D68" s="199"/>
      <c r="E68" s="191"/>
      <c r="F68" s="191"/>
      <c r="G68" s="191"/>
      <c r="H68" s="191"/>
      <c r="I68"/>
    </row>
    <row r="69" spans="1:13" ht="14.5" x14ac:dyDescent="0.35">
      <c r="C69" s="186"/>
      <c r="D69" s="199"/>
      <c r="E69" s="200"/>
      <c r="F69" s="200"/>
      <c r="G69" s="200"/>
      <c r="H69" s="200"/>
      <c r="I69"/>
    </row>
    <row r="70" spans="1:13" ht="14.5" x14ac:dyDescent="0.35">
      <c r="C70" s="196"/>
      <c r="D70" s="201"/>
      <c r="E70" s="204"/>
      <c r="F70" s="204"/>
      <c r="G70" s="202"/>
      <c r="H70" s="202"/>
      <c r="I70"/>
    </row>
    <row r="71" spans="1:13" ht="14.5" x14ac:dyDescent="0.35">
      <c r="C71" s="187"/>
      <c r="D71" s="187"/>
      <c r="E71" s="187"/>
      <c r="F71" s="187"/>
      <c r="G71" s="187"/>
      <c r="H71" s="187"/>
      <c r="I71"/>
    </row>
    <row r="72" spans="1:13" ht="14.5" x14ac:dyDescent="0.35">
      <c r="C72" s="187"/>
      <c r="D72" s="203"/>
      <c r="E72" s="187"/>
      <c r="F72" s="187"/>
      <c r="G72" s="187"/>
      <c r="H72" s="187"/>
      <c r="I72"/>
    </row>
    <row r="73" spans="1:13" x14ac:dyDescent="0.3">
      <c r="C73" s="6"/>
      <c r="D73" s="6"/>
      <c r="E73" s="6"/>
      <c r="F73" s="6"/>
      <c r="G73" s="6"/>
      <c r="H73" s="6"/>
      <c r="M73" s="2"/>
    </row>
    <row r="74" spans="1:13" x14ac:dyDescent="0.3">
      <c r="C74" s="6"/>
      <c r="D74" s="6"/>
      <c r="E74" s="6"/>
      <c r="F74" s="6"/>
      <c r="G74" s="6"/>
      <c r="H74" s="6"/>
      <c r="M74" s="2"/>
    </row>
    <row r="75" spans="1:13" x14ac:dyDescent="0.3">
      <c r="M75" s="2"/>
    </row>
    <row r="76" spans="1:13" x14ac:dyDescent="0.3">
      <c r="M76" s="2"/>
    </row>
    <row r="77" spans="1:13" x14ac:dyDescent="0.3">
      <c r="M77" s="2"/>
    </row>
    <row r="78" spans="1:13" x14ac:dyDescent="0.3">
      <c r="M78" s="2"/>
    </row>
    <row r="79" spans="1:13" x14ac:dyDescent="0.3">
      <c r="M79" s="2"/>
    </row>
    <row r="80" spans="1:13" x14ac:dyDescent="0.3">
      <c r="M80" s="2"/>
    </row>
    <row r="81" spans="1:13" x14ac:dyDescent="0.3">
      <c r="M81" s="2"/>
    </row>
    <row r="82" spans="1:13" x14ac:dyDescent="0.3">
      <c r="M82" s="2"/>
    </row>
    <row r="83" spans="1:13" x14ac:dyDescent="0.3">
      <c r="M83" s="2"/>
    </row>
    <row r="84" spans="1:13" x14ac:dyDescent="0.3">
      <c r="M84" s="2"/>
    </row>
    <row r="85" spans="1:13" x14ac:dyDescent="0.3">
      <c r="M85" s="2"/>
    </row>
    <row r="86" spans="1:13" x14ac:dyDescent="0.3">
      <c r="M86" s="2"/>
    </row>
    <row r="87" spans="1:13" x14ac:dyDescent="0.3">
      <c r="M87" s="2"/>
    </row>
    <row r="88" spans="1:13" x14ac:dyDescent="0.3">
      <c r="M88" s="2"/>
    </row>
    <row r="90" spans="1:13" s="30" customFormat="1" x14ac:dyDescent="0.3">
      <c r="A90" s="56"/>
      <c r="B90" s="51"/>
      <c r="C90" s="51"/>
      <c r="D90" s="51"/>
      <c r="E90" s="51"/>
      <c r="F90" s="51"/>
      <c r="G90" s="51"/>
      <c r="H90" s="51"/>
      <c r="I90" s="51"/>
      <c r="J90" s="51"/>
      <c r="K90" s="51"/>
      <c r="L90" s="52"/>
      <c r="M90" s="29"/>
    </row>
    <row r="101" spans="13:13" x14ac:dyDescent="0.3">
      <c r="M101" s="58"/>
    </row>
  </sheetData>
  <mergeCells count="3">
    <mergeCell ref="A2:L2"/>
    <mergeCell ref="C36:L43"/>
    <mergeCell ref="G70:H70"/>
  </mergeCells>
  <conditionalFormatting sqref="L30:L32">
    <cfRule type="cellIs" dxfId="118" priority="56" operator="lessThan">
      <formula>0</formula>
    </cfRule>
  </conditionalFormatting>
  <conditionalFormatting sqref="L56 L35 L44:L46 L51:L52">
    <cfRule type="cellIs" dxfId="117" priority="55" operator="lessThan">
      <formula>0</formula>
    </cfRule>
  </conditionalFormatting>
  <conditionalFormatting sqref="L34">
    <cfRule type="cellIs" dxfId="116" priority="54" operator="lessThan">
      <formula>0</formula>
    </cfRule>
  </conditionalFormatting>
  <conditionalFormatting sqref="L33">
    <cfRule type="cellIs" dxfId="115" priority="53" operator="lessThan">
      <formula>0</formula>
    </cfRule>
  </conditionalFormatting>
  <conditionalFormatting sqref="L5">
    <cfRule type="cellIs" dxfId="114" priority="50" operator="lessThan">
      <formula>0</formula>
    </cfRule>
  </conditionalFormatting>
  <conditionalFormatting sqref="L53">
    <cfRule type="cellIs" dxfId="113" priority="51" operator="lessThan">
      <formula>0</formula>
    </cfRule>
  </conditionalFormatting>
  <conditionalFormatting sqref="L7">
    <cfRule type="cellIs" dxfId="112" priority="30" operator="lessThan">
      <formula>0</formula>
    </cfRule>
  </conditionalFormatting>
  <conditionalFormatting sqref="L8">
    <cfRule type="cellIs" dxfId="111" priority="29" operator="lessThan">
      <formula>0</formula>
    </cfRule>
  </conditionalFormatting>
  <conditionalFormatting sqref="L10">
    <cfRule type="cellIs" dxfId="110" priority="27" operator="lessThan">
      <formula>0</formula>
    </cfRule>
  </conditionalFormatting>
  <conditionalFormatting sqref="L12">
    <cfRule type="cellIs" dxfId="109" priority="26" operator="lessThan">
      <formula>0</formula>
    </cfRule>
  </conditionalFormatting>
  <conditionalFormatting sqref="L13">
    <cfRule type="cellIs" dxfId="108" priority="25" operator="lessThan">
      <formula>0</formula>
    </cfRule>
  </conditionalFormatting>
  <conditionalFormatting sqref="L14">
    <cfRule type="cellIs" dxfId="107" priority="24" operator="lessThan">
      <formula>0</formula>
    </cfRule>
  </conditionalFormatting>
  <conditionalFormatting sqref="L15">
    <cfRule type="cellIs" dxfId="106" priority="22" operator="lessThan">
      <formula>0</formula>
    </cfRule>
  </conditionalFormatting>
  <conditionalFormatting sqref="L16">
    <cfRule type="cellIs" dxfId="105" priority="21" operator="lessThan">
      <formula>0</formula>
    </cfRule>
  </conditionalFormatting>
  <conditionalFormatting sqref="L19">
    <cfRule type="cellIs" dxfId="104" priority="20" operator="lessThan">
      <formula>0</formula>
    </cfRule>
  </conditionalFormatting>
  <conditionalFormatting sqref="L20">
    <cfRule type="cellIs" dxfId="103" priority="19" operator="lessThan">
      <formula>0</formula>
    </cfRule>
  </conditionalFormatting>
  <conditionalFormatting sqref="L24">
    <cfRule type="cellIs" dxfId="102" priority="13" operator="lessThan">
      <formula>0</formula>
    </cfRule>
  </conditionalFormatting>
  <conditionalFormatting sqref="L17">
    <cfRule type="cellIs" dxfId="101" priority="12" operator="lessThan">
      <formula>0</formula>
    </cfRule>
  </conditionalFormatting>
  <conditionalFormatting sqref="L18">
    <cfRule type="cellIs" dxfId="100" priority="11" operator="lessThan">
      <formula>0</formula>
    </cfRule>
  </conditionalFormatting>
  <conditionalFormatting sqref="L21">
    <cfRule type="cellIs" dxfId="99" priority="10" operator="lessThan">
      <formula>0</formula>
    </cfRule>
  </conditionalFormatting>
  <conditionalFormatting sqref="L22">
    <cfRule type="cellIs" dxfId="98" priority="9" operator="lessThan">
      <formula>0</formula>
    </cfRule>
  </conditionalFormatting>
  <conditionalFormatting sqref="L23">
    <cfRule type="cellIs" dxfId="97" priority="8" operator="lessThan">
      <formula>0</formula>
    </cfRule>
  </conditionalFormatting>
  <conditionalFormatting sqref="L48">
    <cfRule type="cellIs" dxfId="96" priority="7" operator="lessThan">
      <formula>0</formula>
    </cfRule>
  </conditionalFormatting>
  <conditionalFormatting sqref="L49">
    <cfRule type="cellIs" dxfId="95" priority="6" operator="lessThan">
      <formula>0</formula>
    </cfRule>
  </conditionalFormatting>
  <conditionalFormatting sqref="L11">
    <cfRule type="cellIs" dxfId="94" priority="3" operator="lessThan">
      <formula>0</formula>
    </cfRule>
  </conditionalFormatting>
  <conditionalFormatting sqref="L6">
    <cfRule type="cellIs" dxfId="93" priority="2" operator="lessThan">
      <formula>0</formula>
    </cfRule>
  </conditionalFormatting>
  <conditionalFormatting sqref="L9">
    <cfRule type="cellIs" dxfId="92" priority="1" operator="lessThan">
      <formula>0</formula>
    </cfRule>
  </conditionalFormatting>
  <pageMargins left="0.70866141732283472" right="0.70866141732283472" top="0.74803149606299213" bottom="0.74803149606299213" header="0.31496062992125984" footer="0.31496062992125984"/>
  <pageSetup paperSize="9" scale="71" fitToWidth="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01"/>
  <sheetViews>
    <sheetView topLeftCell="B25" zoomScale="70" zoomScaleNormal="70" workbookViewId="0">
      <selection activeCell="C36" sqref="C36:L43"/>
    </sheetView>
  </sheetViews>
  <sheetFormatPr baseColWidth="10" defaultColWidth="9.1796875" defaultRowHeight="13" x14ac:dyDescent="0.3"/>
  <cols>
    <col min="1" max="1" width="41.81640625" style="56" customWidth="1"/>
    <col min="2" max="2" width="10.81640625" style="51" customWidth="1"/>
    <col min="3" max="3" width="10.7265625" style="51" customWidth="1"/>
    <col min="4" max="4" width="12.54296875" style="51" customWidth="1"/>
    <col min="5" max="5" width="11.26953125" style="51" customWidth="1"/>
    <col min="6" max="6" width="9.7265625" style="51" customWidth="1"/>
    <col min="7" max="7" width="10" style="51" customWidth="1"/>
    <col min="8" max="9" width="14.1796875" style="51" customWidth="1"/>
    <col min="10" max="10" width="5.7265625" style="51" customWidth="1"/>
    <col min="11" max="11" width="9.7265625" style="51" customWidth="1"/>
    <col min="12" max="12" width="15.453125" style="52" customWidth="1"/>
    <col min="13" max="13" width="13.7265625" style="1" customWidth="1"/>
    <col min="14" max="14" width="36.81640625" style="2" customWidth="1"/>
    <col min="15" max="15" width="10.1796875" style="2" customWidth="1"/>
    <col min="16" max="16" width="30" style="2" customWidth="1"/>
    <col min="17" max="17" width="9.81640625" style="2" bestFit="1" customWidth="1"/>
    <col min="18" max="18" width="27.26953125" style="2" bestFit="1" customWidth="1"/>
    <col min="19" max="23" width="9.1796875" style="2"/>
    <col min="24" max="24" width="50.54296875" style="2" customWidth="1"/>
    <col min="25" max="16384" width="9.1796875" style="2"/>
  </cols>
  <sheetData>
    <row r="1" spans="1:23" ht="13.5" thickBot="1" x14ac:dyDescent="0.35">
      <c r="A1" s="56" t="s">
        <v>35</v>
      </c>
    </row>
    <row r="2" spans="1:23" ht="13.5" thickBot="1" x14ac:dyDescent="0.35">
      <c r="A2" s="168" t="s">
        <v>74</v>
      </c>
      <c r="B2" s="169"/>
      <c r="C2" s="169"/>
      <c r="D2" s="169"/>
      <c r="E2" s="169"/>
      <c r="F2" s="169"/>
      <c r="G2" s="169"/>
      <c r="H2" s="169"/>
      <c r="I2" s="169"/>
      <c r="J2" s="169"/>
      <c r="K2" s="169"/>
      <c r="L2" s="170"/>
    </row>
    <row r="3" spans="1:23" x14ac:dyDescent="0.3">
      <c r="A3" s="3" t="s">
        <v>0</v>
      </c>
      <c r="B3" s="4" t="s">
        <v>1</v>
      </c>
      <c r="C3" s="4" t="s">
        <v>2</v>
      </c>
      <c r="D3" s="4" t="s">
        <v>44</v>
      </c>
      <c r="E3" s="59" t="s">
        <v>45</v>
      </c>
      <c r="F3" s="4" t="s">
        <v>3</v>
      </c>
      <c r="G3" s="4" t="s">
        <v>4</v>
      </c>
      <c r="H3" s="4" t="s">
        <v>5</v>
      </c>
      <c r="I3" s="4" t="s">
        <v>46</v>
      </c>
      <c r="J3" s="4" t="s">
        <v>6</v>
      </c>
      <c r="K3" s="4" t="s">
        <v>7</v>
      </c>
      <c r="L3" s="5" t="s">
        <v>8</v>
      </c>
      <c r="M3" s="6"/>
      <c r="N3" s="7" t="s">
        <v>9</v>
      </c>
      <c r="O3" s="8"/>
      <c r="P3" s="9"/>
      <c r="Q3" s="10"/>
      <c r="T3" s="11"/>
      <c r="U3" s="11"/>
      <c r="V3" s="11"/>
      <c r="W3" s="12"/>
    </row>
    <row r="4" spans="1:23" x14ac:dyDescent="0.3">
      <c r="A4" s="13"/>
      <c r="B4" s="14"/>
      <c r="C4" s="14"/>
      <c r="D4" s="14"/>
      <c r="E4" s="14"/>
      <c r="F4" s="14"/>
      <c r="G4" s="14"/>
      <c r="H4" s="14"/>
      <c r="I4" s="14"/>
      <c r="J4" s="14"/>
      <c r="K4" s="14"/>
      <c r="L4" s="15"/>
      <c r="M4" s="16"/>
      <c r="N4" s="97" t="s">
        <v>137</v>
      </c>
      <c r="O4" s="91">
        <f>K25</f>
        <v>2400</v>
      </c>
      <c r="P4" s="91" t="s">
        <v>106</v>
      </c>
      <c r="Q4" s="101">
        <f>(O4/60)/2</f>
        <v>20</v>
      </c>
      <c r="T4" s="11"/>
      <c r="U4" s="11"/>
      <c r="V4" s="11"/>
      <c r="W4" s="12"/>
    </row>
    <row r="5" spans="1:23" x14ac:dyDescent="0.3">
      <c r="A5" s="20" t="s">
        <v>81</v>
      </c>
      <c r="B5" s="18" t="s">
        <v>33</v>
      </c>
      <c r="C5" s="6">
        <v>22</v>
      </c>
      <c r="D5" s="18"/>
      <c r="E5" s="6">
        <v>1.5</v>
      </c>
      <c r="F5" s="18">
        <v>2</v>
      </c>
      <c r="G5" s="18">
        <f>G32</f>
        <v>20</v>
      </c>
      <c r="H5" s="18">
        <f>C5*4+D5*G5+E5*(F5)*G5</f>
        <v>148</v>
      </c>
      <c r="I5" s="18">
        <f t="shared" ref="I5:I24" si="0">F5*G5*E5</f>
        <v>60</v>
      </c>
      <c r="J5" s="6">
        <v>15</v>
      </c>
      <c r="K5" s="18">
        <f t="shared" ref="K5:K12" si="1">G5*J5</f>
        <v>300</v>
      </c>
      <c r="L5" s="21">
        <f>K5*44907/60-H5*O7</f>
        <v>175206.6</v>
      </c>
      <c r="N5" s="97"/>
      <c r="O5" s="91"/>
      <c r="P5" s="91"/>
      <c r="Q5" s="101"/>
      <c r="T5" s="11"/>
      <c r="U5" s="11"/>
      <c r="V5" s="11"/>
      <c r="W5" s="12"/>
    </row>
    <row r="6" spans="1:23" x14ac:dyDescent="0.3">
      <c r="A6" s="20" t="s">
        <v>160</v>
      </c>
      <c r="B6" s="18" t="s">
        <v>33</v>
      </c>
      <c r="C6" s="6">
        <v>2</v>
      </c>
      <c r="D6" s="18"/>
      <c r="E6" s="6"/>
      <c r="F6" s="18"/>
      <c r="G6" s="18">
        <f>G32</f>
        <v>20</v>
      </c>
      <c r="H6" s="18">
        <f>C6*3+D6*G6+E6*(F6)*G6</f>
        <v>6</v>
      </c>
      <c r="I6" s="18">
        <f t="shared" ref="I6" si="2">F6*G6*E6</f>
        <v>0</v>
      </c>
      <c r="J6" s="6"/>
      <c r="K6" s="18">
        <f t="shared" si="1"/>
        <v>0</v>
      </c>
      <c r="L6" s="21">
        <f>K6*44907/60-H6*O7</f>
        <v>-1999.8000000000002</v>
      </c>
      <c r="N6" s="97"/>
      <c r="O6" s="91"/>
      <c r="P6" s="91"/>
      <c r="Q6" s="101"/>
      <c r="T6" s="11"/>
      <c r="U6" s="11"/>
      <c r="V6" s="11"/>
      <c r="W6" s="12"/>
    </row>
    <row r="7" spans="1:23" x14ac:dyDescent="0.3">
      <c r="A7" s="20" t="s">
        <v>76</v>
      </c>
      <c r="B7" s="18" t="s">
        <v>33</v>
      </c>
      <c r="C7" s="6">
        <v>36</v>
      </c>
      <c r="D7" s="18">
        <v>3</v>
      </c>
      <c r="E7" s="6">
        <v>3</v>
      </c>
      <c r="F7" s="18">
        <v>2</v>
      </c>
      <c r="G7" s="18">
        <f>G32</f>
        <v>20</v>
      </c>
      <c r="H7" s="18">
        <f t="shared" ref="H7:H24" si="3">C7*4+D7*G7+E7*(F7)*G7</f>
        <v>324</v>
      </c>
      <c r="I7" s="18">
        <f t="shared" si="0"/>
        <v>120</v>
      </c>
      <c r="J7" s="6">
        <v>10</v>
      </c>
      <c r="K7" s="18">
        <f t="shared" si="1"/>
        <v>200</v>
      </c>
      <c r="L7" s="21">
        <f>K7*44907/60-H7*O7</f>
        <v>41700.800000000003</v>
      </c>
      <c r="N7" s="97" t="s">
        <v>130</v>
      </c>
      <c r="O7" s="91">
        <v>333.3</v>
      </c>
      <c r="P7" s="91"/>
      <c r="Q7" s="101"/>
      <c r="T7" s="11"/>
      <c r="U7" s="11"/>
      <c r="V7" s="11"/>
      <c r="W7" s="12"/>
    </row>
    <row r="8" spans="1:23" x14ac:dyDescent="0.3">
      <c r="A8" s="20" t="s">
        <v>77</v>
      </c>
      <c r="B8" s="18" t="s">
        <v>34</v>
      </c>
      <c r="C8" s="6">
        <v>24</v>
      </c>
      <c r="D8" s="18"/>
      <c r="E8" s="6">
        <v>3.5</v>
      </c>
      <c r="F8" s="18">
        <v>2</v>
      </c>
      <c r="G8" s="18">
        <f>G32</f>
        <v>20</v>
      </c>
      <c r="H8" s="18">
        <f>C8*3+D8*G8+E8*(F8)*G8</f>
        <v>212</v>
      </c>
      <c r="I8" s="18">
        <f t="shared" si="0"/>
        <v>140</v>
      </c>
      <c r="J8" s="6">
        <v>10</v>
      </c>
      <c r="K8" s="18">
        <f t="shared" si="1"/>
        <v>200</v>
      </c>
      <c r="L8" s="21">
        <f>K8*44907/60-H8*O7</f>
        <v>79030.399999999994</v>
      </c>
      <c r="N8" s="97"/>
      <c r="O8" s="91"/>
      <c r="P8" s="91"/>
      <c r="Q8" s="101"/>
      <c r="T8" s="11"/>
      <c r="U8" s="11"/>
      <c r="V8" s="11"/>
      <c r="W8" s="12"/>
    </row>
    <row r="9" spans="1:23" x14ac:dyDescent="0.3">
      <c r="A9" s="20" t="s">
        <v>161</v>
      </c>
      <c r="B9" s="18" t="s">
        <v>34</v>
      </c>
      <c r="C9" s="6">
        <v>24</v>
      </c>
      <c r="D9" s="18"/>
      <c r="E9" s="6"/>
      <c r="F9" s="18"/>
      <c r="G9" s="18">
        <f>G32</f>
        <v>20</v>
      </c>
      <c r="H9" s="18">
        <f>C9*3+D9*G9+E9*(F9)*G9</f>
        <v>72</v>
      </c>
      <c r="I9" s="18">
        <f t="shared" ref="I9" si="4">F9*G9*E9</f>
        <v>0</v>
      </c>
      <c r="J9" s="6"/>
      <c r="K9" s="18">
        <f t="shared" si="1"/>
        <v>0</v>
      </c>
      <c r="L9" s="21">
        <f>K9*44907/60-H9*O7</f>
        <v>-23997.600000000002</v>
      </c>
      <c r="N9" s="97"/>
      <c r="O9" s="91"/>
      <c r="P9" s="91"/>
      <c r="Q9" s="101"/>
      <c r="T9" s="11"/>
      <c r="U9" s="11"/>
      <c r="V9" s="11"/>
      <c r="W9" s="12"/>
    </row>
    <row r="10" spans="1:23" x14ac:dyDescent="0.3">
      <c r="A10" s="20" t="s">
        <v>78</v>
      </c>
      <c r="B10" s="18" t="s">
        <v>33</v>
      </c>
      <c r="C10" s="6">
        <v>24</v>
      </c>
      <c r="D10" s="18">
        <v>0.5</v>
      </c>
      <c r="E10" s="6">
        <v>1</v>
      </c>
      <c r="F10" s="18">
        <v>2</v>
      </c>
      <c r="G10" s="18">
        <f>G32</f>
        <v>20</v>
      </c>
      <c r="H10" s="18">
        <f t="shared" si="3"/>
        <v>146</v>
      </c>
      <c r="I10" s="18">
        <f t="shared" si="0"/>
        <v>40</v>
      </c>
      <c r="J10" s="6">
        <v>10</v>
      </c>
      <c r="K10" s="18">
        <f t="shared" si="1"/>
        <v>200</v>
      </c>
      <c r="L10" s="21">
        <f>K10*44907/60-H10*O7</f>
        <v>101028.2</v>
      </c>
      <c r="N10" s="97"/>
      <c r="O10" s="91"/>
      <c r="P10" s="91"/>
      <c r="Q10" s="101"/>
      <c r="T10" s="11"/>
      <c r="U10" s="11"/>
      <c r="V10" s="11"/>
      <c r="W10" s="12"/>
    </row>
    <row r="11" spans="1:23" x14ac:dyDescent="0.3">
      <c r="A11" s="20" t="s">
        <v>162</v>
      </c>
      <c r="B11" s="18" t="s">
        <v>33</v>
      </c>
      <c r="C11" s="6">
        <v>105</v>
      </c>
      <c r="D11" s="18"/>
      <c r="E11" s="6"/>
      <c r="F11" s="18"/>
      <c r="G11" s="18">
        <f>G32</f>
        <v>20</v>
      </c>
      <c r="H11" s="18">
        <f>C11*4+D11*G11+E11*(F11)*G11</f>
        <v>420</v>
      </c>
      <c r="I11" s="18">
        <f t="shared" ref="I11" si="5">F11*G11*E11</f>
        <v>0</v>
      </c>
      <c r="J11" s="6"/>
      <c r="K11" s="18">
        <f t="shared" si="1"/>
        <v>0</v>
      </c>
      <c r="L11" s="21">
        <f>K11*44907/60-H11*O7</f>
        <v>-139986</v>
      </c>
      <c r="N11" s="97"/>
      <c r="O11" s="91"/>
      <c r="P11" s="91"/>
      <c r="Q11" s="101"/>
      <c r="T11" s="11"/>
      <c r="U11" s="11"/>
      <c r="V11" s="11"/>
      <c r="W11" s="12"/>
    </row>
    <row r="12" spans="1:23" x14ac:dyDescent="0.3">
      <c r="A12" s="20" t="s">
        <v>159</v>
      </c>
      <c r="B12" s="18" t="s">
        <v>33</v>
      </c>
      <c r="C12" s="6">
        <v>12</v>
      </c>
      <c r="D12" s="18"/>
      <c r="E12" s="6">
        <v>1.5</v>
      </c>
      <c r="F12" s="18">
        <v>2</v>
      </c>
      <c r="G12" s="18">
        <f>G32</f>
        <v>20</v>
      </c>
      <c r="H12" s="18">
        <f t="shared" si="3"/>
        <v>108</v>
      </c>
      <c r="I12" s="18">
        <f t="shared" si="0"/>
        <v>60</v>
      </c>
      <c r="J12" s="6">
        <v>5</v>
      </c>
      <c r="K12" s="18">
        <f t="shared" si="1"/>
        <v>100</v>
      </c>
      <c r="L12" s="21">
        <f>K12*44907/60-H12*O7</f>
        <v>38848.6</v>
      </c>
      <c r="N12" s="97"/>
      <c r="O12" s="91"/>
      <c r="P12" s="91"/>
      <c r="Q12" s="101"/>
      <c r="T12" s="11"/>
      <c r="U12" s="11"/>
      <c r="V12" s="11"/>
      <c r="W12" s="12"/>
    </row>
    <row r="13" spans="1:23" x14ac:dyDescent="0.3">
      <c r="A13" s="20" t="s">
        <v>79</v>
      </c>
      <c r="B13" s="6" t="s">
        <v>33</v>
      </c>
      <c r="C13" s="6">
        <v>15</v>
      </c>
      <c r="D13" s="18"/>
      <c r="E13" s="6">
        <v>1</v>
      </c>
      <c r="F13" s="18">
        <v>1</v>
      </c>
      <c r="G13" s="18">
        <f>G32</f>
        <v>20</v>
      </c>
      <c r="H13" s="18">
        <f t="shared" si="3"/>
        <v>80</v>
      </c>
      <c r="I13" s="18">
        <f t="shared" si="0"/>
        <v>20</v>
      </c>
      <c r="J13" s="6">
        <v>5</v>
      </c>
      <c r="K13" s="18">
        <f t="shared" ref="K13:K22" si="6">G13*J13</f>
        <v>100</v>
      </c>
      <c r="L13" s="21">
        <f>K13*44907/60-H13*O7</f>
        <v>48181</v>
      </c>
      <c r="N13" s="97"/>
      <c r="O13" s="91"/>
      <c r="P13" s="91"/>
      <c r="Q13" s="91"/>
      <c r="T13" s="11"/>
      <c r="U13" s="11"/>
      <c r="V13" s="11"/>
      <c r="W13" s="12"/>
    </row>
    <row r="14" spans="1:23" x14ac:dyDescent="0.3">
      <c r="A14" s="20" t="s">
        <v>80</v>
      </c>
      <c r="B14" s="18" t="s">
        <v>34</v>
      </c>
      <c r="C14" s="6">
        <v>15</v>
      </c>
      <c r="D14" s="18"/>
      <c r="E14" s="6">
        <v>1</v>
      </c>
      <c r="F14" s="6">
        <v>1</v>
      </c>
      <c r="G14" s="18">
        <f>G32</f>
        <v>20</v>
      </c>
      <c r="H14" s="18">
        <f t="shared" si="3"/>
        <v>80</v>
      </c>
      <c r="I14" s="18">
        <f t="shared" si="0"/>
        <v>20</v>
      </c>
      <c r="J14" s="6">
        <v>5</v>
      </c>
      <c r="K14" s="18">
        <f t="shared" si="6"/>
        <v>100</v>
      </c>
      <c r="L14" s="21">
        <f>K14*44907/60-H14*O7</f>
        <v>48181</v>
      </c>
      <c r="N14" s="97" t="s">
        <v>131</v>
      </c>
      <c r="O14" s="91">
        <f>H25</f>
        <v>2910</v>
      </c>
      <c r="P14" s="92" t="s">
        <v>13</v>
      </c>
      <c r="Q14" s="102">
        <f>O14/O4</f>
        <v>1.2124999999999999</v>
      </c>
      <c r="T14" s="11"/>
      <c r="U14" s="11"/>
      <c r="V14" s="11"/>
      <c r="W14" s="12"/>
    </row>
    <row r="15" spans="1:23" x14ac:dyDescent="0.3">
      <c r="A15" s="20"/>
      <c r="B15" s="6"/>
      <c r="C15" s="6"/>
      <c r="D15" s="18"/>
      <c r="E15" s="6"/>
      <c r="F15" s="6"/>
      <c r="G15" s="18">
        <f>G32</f>
        <v>20</v>
      </c>
      <c r="H15" s="18">
        <f t="shared" si="3"/>
        <v>0</v>
      </c>
      <c r="I15" s="18">
        <f t="shared" si="0"/>
        <v>0</v>
      </c>
      <c r="J15" s="6"/>
      <c r="K15" s="18">
        <f t="shared" si="6"/>
        <v>0</v>
      </c>
      <c r="L15" s="21">
        <f>K15*44907/60-H15*O7</f>
        <v>0</v>
      </c>
      <c r="N15" s="97"/>
      <c r="O15" s="91"/>
      <c r="P15" s="92"/>
      <c r="Q15" s="102"/>
      <c r="T15" s="11"/>
      <c r="U15" s="11"/>
      <c r="V15" s="11"/>
      <c r="W15" s="12"/>
    </row>
    <row r="16" spans="1:23" x14ac:dyDescent="0.3">
      <c r="A16" s="20" t="s">
        <v>84</v>
      </c>
      <c r="B16" s="6" t="s">
        <v>34</v>
      </c>
      <c r="C16" s="6">
        <f>G32*40</f>
        <v>800</v>
      </c>
      <c r="D16" s="18"/>
      <c r="E16" s="6">
        <v>11.5</v>
      </c>
      <c r="F16" s="6">
        <v>1</v>
      </c>
      <c r="G16" s="18">
        <f>G32</f>
        <v>20</v>
      </c>
      <c r="H16" s="18">
        <f>C16+D16*G16+E16*(F16)*G16</f>
        <v>1030</v>
      </c>
      <c r="I16" s="18">
        <f t="shared" si="0"/>
        <v>230</v>
      </c>
      <c r="J16" s="6">
        <v>45</v>
      </c>
      <c r="K16" s="18">
        <f t="shared" si="6"/>
        <v>900</v>
      </c>
      <c r="L16" s="21">
        <f>K16*44907/60-H16*O7</f>
        <v>330306</v>
      </c>
      <c r="N16" s="97" t="s">
        <v>148</v>
      </c>
      <c r="O16" s="91">
        <f>C19+C20+C21</f>
        <v>220</v>
      </c>
      <c r="P16" s="92"/>
      <c r="Q16" s="102"/>
      <c r="T16" s="11"/>
      <c r="U16" s="11"/>
      <c r="V16" s="11"/>
      <c r="W16" s="12"/>
    </row>
    <row r="17" spans="1:23" x14ac:dyDescent="0.3">
      <c r="A17" s="20" t="s">
        <v>144</v>
      </c>
      <c r="B17" s="6" t="s">
        <v>34</v>
      </c>
      <c r="C17" s="6">
        <v>8</v>
      </c>
      <c r="D17" s="18"/>
      <c r="E17" s="6"/>
      <c r="F17" s="6"/>
      <c r="G17" s="18">
        <f>G32</f>
        <v>20</v>
      </c>
      <c r="H17" s="18">
        <f t="shared" si="3"/>
        <v>32</v>
      </c>
      <c r="I17" s="18">
        <f t="shared" si="0"/>
        <v>0</v>
      </c>
      <c r="J17" s="6"/>
      <c r="K17" s="18">
        <f t="shared" si="6"/>
        <v>0</v>
      </c>
      <c r="L17" s="21">
        <f>K17*44907/60-H17*O7</f>
        <v>-10665.6</v>
      </c>
      <c r="N17" s="97"/>
      <c r="O17" s="91"/>
      <c r="P17" s="92"/>
      <c r="Q17" s="102"/>
      <c r="T17" s="11"/>
      <c r="U17" s="11"/>
      <c r="V17" s="11"/>
      <c r="W17" s="12"/>
    </row>
    <row r="18" spans="1:23" x14ac:dyDescent="0.3">
      <c r="A18" s="20" t="s">
        <v>177</v>
      </c>
      <c r="B18" s="6" t="s">
        <v>176</v>
      </c>
      <c r="C18" s="6">
        <v>8</v>
      </c>
      <c r="D18" s="18"/>
      <c r="E18" s="6"/>
      <c r="F18" s="6"/>
      <c r="G18" s="18"/>
      <c r="H18" s="18">
        <f t="shared" si="3"/>
        <v>32</v>
      </c>
      <c r="I18" s="18">
        <f t="shared" si="0"/>
        <v>0</v>
      </c>
      <c r="J18" s="6"/>
      <c r="K18" s="18">
        <f t="shared" si="6"/>
        <v>0</v>
      </c>
      <c r="L18" s="21">
        <f>K18*44907/60-H18*O7</f>
        <v>-10665.6</v>
      </c>
      <c r="N18" s="94" t="s">
        <v>149</v>
      </c>
      <c r="O18" s="94"/>
      <c r="P18" s="94"/>
      <c r="Q18" s="91"/>
      <c r="R18" s="25"/>
      <c r="S18" s="25"/>
      <c r="T18" s="11"/>
      <c r="U18" s="11"/>
      <c r="V18" s="11"/>
      <c r="W18" s="12"/>
    </row>
    <row r="19" spans="1:23" x14ac:dyDescent="0.3">
      <c r="A19" s="90" t="s">
        <v>102</v>
      </c>
      <c r="B19" s="92"/>
      <c r="C19" s="92">
        <v>100</v>
      </c>
      <c r="D19" s="91"/>
      <c r="E19" s="92"/>
      <c r="F19" s="92"/>
      <c r="G19" s="91"/>
      <c r="H19" s="91">
        <f>C19*1</f>
        <v>100</v>
      </c>
      <c r="I19" s="91">
        <f>F19*G19*E19</f>
        <v>0</v>
      </c>
      <c r="J19" s="92"/>
      <c r="K19" s="91">
        <f>G19*J19</f>
        <v>0</v>
      </c>
      <c r="L19" s="93">
        <f>(K19*44907/60-H19*O7)</f>
        <v>-33330</v>
      </c>
      <c r="N19" s="96" t="s">
        <v>48</v>
      </c>
      <c r="O19" s="94"/>
      <c r="P19" s="94"/>
      <c r="Q19" s="102">
        <f>H25/847</f>
        <v>3.4356552538370719</v>
      </c>
    </row>
    <row r="20" spans="1:23" x14ac:dyDescent="0.3">
      <c r="A20" s="90" t="s">
        <v>103</v>
      </c>
      <c r="B20" s="92"/>
      <c r="C20" s="92"/>
      <c r="D20" s="91"/>
      <c r="E20" s="92"/>
      <c r="F20" s="92"/>
      <c r="G20" s="91"/>
      <c r="H20" s="91">
        <f>C20*1</f>
        <v>0</v>
      </c>
      <c r="I20" s="91">
        <f>F20*G20*E20</f>
        <v>0</v>
      </c>
      <c r="J20" s="92"/>
      <c r="K20" s="91">
        <f>G20*J20</f>
        <v>0</v>
      </c>
      <c r="L20" s="93">
        <f>(K20*44907/60-H20*O7)</f>
        <v>0</v>
      </c>
      <c r="N20" s="96" t="s">
        <v>179</v>
      </c>
      <c r="O20" s="94"/>
      <c r="P20" s="94"/>
      <c r="Q20" s="101">
        <f>I16</f>
        <v>230</v>
      </c>
    </row>
    <row r="21" spans="1:23" x14ac:dyDescent="0.3">
      <c r="A21" s="90" t="s">
        <v>114</v>
      </c>
      <c r="B21" s="92"/>
      <c r="C21" s="92">
        <f>(J25-J16-15)*2</f>
        <v>120</v>
      </c>
      <c r="D21" s="91"/>
      <c r="E21" s="92"/>
      <c r="F21" s="92"/>
      <c r="G21" s="91"/>
      <c r="H21" s="91">
        <f>C21*1</f>
        <v>120</v>
      </c>
      <c r="I21" s="91">
        <f>F21*G21*E21</f>
        <v>0</v>
      </c>
      <c r="J21" s="92"/>
      <c r="K21" s="91">
        <f>G21*J21</f>
        <v>0</v>
      </c>
      <c r="L21" s="93">
        <f>(K21*44907/60-H21*O7)</f>
        <v>-39996</v>
      </c>
      <c r="N21" s="92"/>
      <c r="O21" s="103"/>
      <c r="P21" s="94"/>
      <c r="Q21" s="104"/>
    </row>
    <row r="22" spans="1:23" s="30" customFormat="1" x14ac:dyDescent="0.3">
      <c r="A22" s="20"/>
      <c r="B22" s="6"/>
      <c r="C22" s="6"/>
      <c r="D22" s="18"/>
      <c r="E22" s="6"/>
      <c r="F22" s="6"/>
      <c r="G22" s="18"/>
      <c r="H22" s="18">
        <f t="shared" si="3"/>
        <v>0</v>
      </c>
      <c r="I22" s="18">
        <f t="shared" si="0"/>
        <v>0</v>
      </c>
      <c r="J22" s="6"/>
      <c r="K22" s="18">
        <f t="shared" si="6"/>
        <v>0</v>
      </c>
      <c r="L22" s="21">
        <f>K22*44907/60-H22*O7</f>
        <v>0</v>
      </c>
      <c r="M22" s="29"/>
      <c r="N22" s="96" t="s">
        <v>109</v>
      </c>
      <c r="O22" s="103">
        <v>44907</v>
      </c>
      <c r="P22" s="92" t="s">
        <v>108</v>
      </c>
      <c r="Q22" s="104">
        <f>(Q4*O22*2)</f>
        <v>1796280</v>
      </c>
    </row>
    <row r="23" spans="1:23" x14ac:dyDescent="0.3">
      <c r="A23" s="20"/>
      <c r="B23" s="6"/>
      <c r="C23" s="6"/>
      <c r="D23" s="18"/>
      <c r="E23" s="6"/>
      <c r="F23" s="6"/>
      <c r="G23" s="18"/>
      <c r="H23" s="18">
        <f t="shared" si="3"/>
        <v>0</v>
      </c>
      <c r="I23" s="18">
        <f t="shared" si="0"/>
        <v>0</v>
      </c>
      <c r="J23" s="6"/>
      <c r="K23" s="18">
        <f>G23*J23</f>
        <v>0</v>
      </c>
      <c r="L23" s="21">
        <f>K23*44907/60-H23*O7</f>
        <v>0</v>
      </c>
      <c r="N23" s="96"/>
      <c r="O23" s="103"/>
      <c r="P23" s="92"/>
      <c r="Q23" s="104"/>
    </row>
    <row r="24" spans="1:23" x14ac:dyDescent="0.3">
      <c r="A24" s="20"/>
      <c r="B24" s="6" t="s">
        <v>11</v>
      </c>
      <c r="C24" s="6"/>
      <c r="D24" s="18"/>
      <c r="E24" s="6"/>
      <c r="F24" s="6"/>
      <c r="G24" s="18"/>
      <c r="H24" s="18">
        <f t="shared" si="3"/>
        <v>0</v>
      </c>
      <c r="I24" s="18">
        <f t="shared" si="0"/>
        <v>0</v>
      </c>
      <c r="J24" s="6"/>
      <c r="K24" s="18">
        <f>G24*J24</f>
        <v>0</v>
      </c>
      <c r="L24" s="21">
        <f>K24*44907/60-H24*O7</f>
        <v>0</v>
      </c>
      <c r="N24" s="96" t="s">
        <v>111</v>
      </c>
      <c r="O24" s="103">
        <v>25344</v>
      </c>
      <c r="P24" s="92" t="s">
        <v>143</v>
      </c>
      <c r="Q24" s="104">
        <f>(Q4*25344)</f>
        <v>506880</v>
      </c>
    </row>
    <row r="25" spans="1:23" x14ac:dyDescent="0.3">
      <c r="A25" s="33" t="s">
        <v>15</v>
      </c>
      <c r="B25" s="34"/>
      <c r="C25" s="35">
        <f>SUM(C5:C23)*4</f>
        <v>5260</v>
      </c>
      <c r="D25" s="34"/>
      <c r="E25" s="35"/>
      <c r="F25" s="34"/>
      <c r="G25" s="34">
        <f>SUM(G5:G23)</f>
        <v>260</v>
      </c>
      <c r="H25" s="34">
        <f>SUM(H5:H23)</f>
        <v>2910</v>
      </c>
      <c r="I25" s="34">
        <f>SUM(I5:I23)</f>
        <v>690</v>
      </c>
      <c r="J25" s="34">
        <f>SUM(J5:J23)+15</f>
        <v>120</v>
      </c>
      <c r="K25" s="34">
        <f>SUM(K5:K23)+(15*G32)</f>
        <v>2400</v>
      </c>
      <c r="L25" s="87">
        <f>SUM(L5:L23)</f>
        <v>601842</v>
      </c>
      <c r="N25" s="96" t="s">
        <v>163</v>
      </c>
      <c r="O25" s="103">
        <f>(O22*2)+O24</f>
        <v>115158</v>
      </c>
      <c r="P25" s="94"/>
      <c r="Q25" s="94"/>
    </row>
    <row r="26" spans="1:23" x14ac:dyDescent="0.3">
      <c r="A26" s="13" t="s">
        <v>16</v>
      </c>
      <c r="B26" s="14"/>
      <c r="C26" s="14"/>
      <c r="D26" s="14"/>
      <c r="E26" s="14"/>
      <c r="F26" s="14"/>
      <c r="G26" s="14"/>
      <c r="H26" s="14"/>
      <c r="I26" s="14"/>
      <c r="J26" s="14"/>
      <c r="K26" s="14"/>
      <c r="L26" s="15"/>
      <c r="N26" s="94" t="s">
        <v>110</v>
      </c>
      <c r="O26" s="94"/>
      <c r="P26" s="94"/>
      <c r="Q26" s="104">
        <f>SUM(Q22:Q25)</f>
        <v>2303160</v>
      </c>
    </row>
    <row r="27" spans="1:23" x14ac:dyDescent="0.3">
      <c r="A27" s="13"/>
      <c r="B27" s="14"/>
      <c r="C27" s="14"/>
      <c r="D27" s="14"/>
      <c r="E27" s="14"/>
      <c r="F27" s="14"/>
      <c r="G27" s="14"/>
      <c r="H27" s="14"/>
      <c r="I27" s="14"/>
      <c r="J27" s="14"/>
      <c r="K27" s="14"/>
      <c r="L27" s="15"/>
    </row>
    <row r="28" spans="1:23" x14ac:dyDescent="0.3">
      <c r="A28" s="13"/>
      <c r="B28" s="14"/>
      <c r="C28" s="14"/>
      <c r="D28" s="14"/>
      <c r="E28" s="14"/>
      <c r="F28" s="14"/>
      <c r="G28" s="14"/>
      <c r="H28" s="14"/>
      <c r="I28" s="14"/>
      <c r="J28" s="14"/>
      <c r="K28" s="14"/>
      <c r="L28" s="15"/>
    </row>
    <row r="29" spans="1:23" x14ac:dyDescent="0.3">
      <c r="A29" s="13"/>
      <c r="B29" s="14"/>
      <c r="C29" s="14"/>
      <c r="D29" s="14"/>
      <c r="E29" s="14"/>
      <c r="F29" s="14"/>
      <c r="G29" s="14"/>
      <c r="H29" s="14"/>
      <c r="I29" s="14"/>
      <c r="J29" s="14"/>
      <c r="K29" s="14"/>
      <c r="L29" s="15"/>
      <c r="N29" s="167"/>
      <c r="O29" s="11"/>
      <c r="P29" s="11"/>
      <c r="Q29" s="11"/>
    </row>
    <row r="30" spans="1:23" ht="13.5" thickBot="1" x14ac:dyDescent="0.35">
      <c r="A30" s="40"/>
      <c r="B30" s="41"/>
      <c r="C30" s="41"/>
      <c r="D30" s="42"/>
      <c r="E30" s="42"/>
      <c r="F30" s="42"/>
      <c r="G30" s="42"/>
      <c r="H30" s="18"/>
      <c r="I30" s="18"/>
      <c r="J30" s="42"/>
      <c r="K30" s="42"/>
      <c r="L30" s="43"/>
      <c r="N30" s="11"/>
      <c r="O30" s="11"/>
      <c r="P30" s="11"/>
      <c r="Q30" s="11"/>
    </row>
    <row r="31" spans="1:23" x14ac:dyDescent="0.3">
      <c r="A31" s="20"/>
      <c r="B31" s="6"/>
      <c r="C31" s="6"/>
      <c r="D31" s="18"/>
      <c r="E31" s="18"/>
      <c r="F31" s="18"/>
      <c r="G31" s="18"/>
      <c r="H31" s="18"/>
      <c r="I31" s="18"/>
      <c r="J31" s="18"/>
      <c r="K31" s="18"/>
      <c r="L31" s="21"/>
      <c r="N31" s="11"/>
      <c r="O31" s="11"/>
      <c r="P31" s="11"/>
      <c r="Q31" s="179"/>
    </row>
    <row r="32" spans="1:23" x14ac:dyDescent="0.3">
      <c r="A32" s="64"/>
      <c r="B32" s="6"/>
      <c r="C32" s="6" t="s">
        <v>141</v>
      </c>
      <c r="D32" s="18"/>
      <c r="E32" s="18"/>
      <c r="F32" s="18"/>
      <c r="G32" s="18">
        <v>20</v>
      </c>
      <c r="H32" s="18"/>
      <c r="I32" s="18"/>
      <c r="J32" s="18"/>
      <c r="K32" s="18"/>
      <c r="L32" s="65"/>
      <c r="N32" s="178"/>
      <c r="O32" s="11"/>
      <c r="P32" s="11"/>
      <c r="Q32" s="179"/>
    </row>
    <row r="33" spans="1:24" x14ac:dyDescent="0.3">
      <c r="A33" s="64"/>
      <c r="B33" s="18"/>
      <c r="C33" s="6"/>
      <c r="D33" s="18"/>
      <c r="E33" s="6"/>
      <c r="F33" s="18"/>
      <c r="G33" s="18"/>
      <c r="H33" s="18"/>
      <c r="I33" s="18"/>
      <c r="J33" s="6"/>
      <c r="K33" s="18"/>
      <c r="L33" s="65"/>
      <c r="N33" s="178"/>
      <c r="O33" s="6"/>
      <c r="P33" s="6"/>
      <c r="Q33" s="179"/>
      <c r="R33" s="67"/>
      <c r="S33" s="18"/>
      <c r="T33" s="18"/>
      <c r="U33" s="18"/>
      <c r="V33" s="18"/>
      <c r="W33" s="18"/>
      <c r="X33" s="47"/>
    </row>
    <row r="34" spans="1:24" x14ac:dyDescent="0.3">
      <c r="A34" s="64"/>
      <c r="B34" s="18"/>
      <c r="C34" s="6"/>
      <c r="D34" s="18"/>
      <c r="E34" s="6"/>
      <c r="F34" s="18"/>
      <c r="G34" s="18"/>
      <c r="H34" s="18"/>
      <c r="I34" s="18"/>
      <c r="J34" s="6"/>
      <c r="K34" s="18"/>
      <c r="L34" s="65"/>
      <c r="N34" s="53"/>
      <c r="O34" s="6"/>
      <c r="P34" s="6"/>
      <c r="Q34" s="179"/>
      <c r="R34" s="67"/>
      <c r="S34" s="18"/>
      <c r="T34" s="18"/>
      <c r="U34" s="18"/>
      <c r="V34" s="18"/>
      <c r="W34" s="18"/>
      <c r="X34" s="47"/>
    </row>
    <row r="35" spans="1:24" ht="14.5" x14ac:dyDescent="0.35">
      <c r="A35" s="64"/>
      <c r="B35" s="18"/>
      <c r="C35" s="71" t="s">
        <v>19</v>
      </c>
      <c r="D35" s="80"/>
      <c r="E35" s="81"/>
      <c r="F35" s="81"/>
      <c r="G35" s="81"/>
      <c r="H35" s="81"/>
      <c r="I35" s="81"/>
      <c r="J35" s="81"/>
      <c r="K35" s="81"/>
      <c r="L35" s="82"/>
      <c r="N35" s="53"/>
      <c r="O35" s="6"/>
      <c r="P35" s="11"/>
      <c r="Q35" s="179"/>
      <c r="R35" s="67"/>
      <c r="S35" s="18"/>
      <c r="T35" s="18"/>
      <c r="U35" s="18"/>
      <c r="V35" s="18"/>
      <c r="W35" s="18"/>
      <c r="X35" s="47"/>
    </row>
    <row r="36" spans="1:24" x14ac:dyDescent="0.3">
      <c r="A36" s="64"/>
      <c r="B36" s="18"/>
      <c r="C36" s="171" t="s">
        <v>192</v>
      </c>
      <c r="D36" s="172"/>
      <c r="E36" s="173"/>
      <c r="F36" s="173"/>
      <c r="G36" s="173"/>
      <c r="H36" s="173"/>
      <c r="I36" s="173"/>
      <c r="J36" s="173"/>
      <c r="K36" s="173"/>
      <c r="L36" s="174"/>
      <c r="N36" s="53"/>
      <c r="O36" s="6"/>
      <c r="P36" s="6"/>
      <c r="Q36" s="179"/>
      <c r="R36" s="67"/>
      <c r="S36" s="18"/>
      <c r="T36" s="18"/>
      <c r="U36" s="18"/>
      <c r="V36" s="18"/>
      <c r="W36" s="18"/>
      <c r="X36" s="47"/>
    </row>
    <row r="37" spans="1:24" x14ac:dyDescent="0.3">
      <c r="A37" s="64"/>
      <c r="B37" s="6"/>
      <c r="C37" s="175"/>
      <c r="D37" s="173"/>
      <c r="E37" s="173"/>
      <c r="F37" s="173"/>
      <c r="G37" s="173"/>
      <c r="H37" s="173"/>
      <c r="I37" s="173"/>
      <c r="J37" s="173"/>
      <c r="K37" s="173"/>
      <c r="L37" s="174"/>
      <c r="N37" s="11"/>
      <c r="O37" s="6"/>
      <c r="P37" s="6"/>
      <c r="Q37" s="179"/>
      <c r="R37" s="67"/>
      <c r="S37" s="18"/>
      <c r="T37" s="18"/>
      <c r="U37" s="18"/>
      <c r="V37" s="18"/>
      <c r="W37" s="18"/>
      <c r="X37" s="47"/>
    </row>
    <row r="38" spans="1:24" s="30" customFormat="1" x14ac:dyDescent="0.3">
      <c r="A38" s="64"/>
      <c r="B38" s="18"/>
      <c r="C38" s="175"/>
      <c r="D38" s="173"/>
      <c r="E38" s="173"/>
      <c r="F38" s="173"/>
      <c r="G38" s="173"/>
      <c r="H38" s="173"/>
      <c r="I38" s="173"/>
      <c r="J38" s="173"/>
      <c r="K38" s="173"/>
      <c r="L38" s="174"/>
      <c r="M38" s="29"/>
      <c r="N38" s="11"/>
      <c r="O38" s="11"/>
      <c r="P38" s="11"/>
      <c r="Q38" s="179"/>
      <c r="R38" s="84"/>
      <c r="S38" s="25"/>
      <c r="T38" s="25"/>
      <c r="U38" s="25"/>
      <c r="V38" s="25"/>
      <c r="W38" s="25"/>
      <c r="X38" s="25"/>
    </row>
    <row r="39" spans="1:24" x14ac:dyDescent="0.3">
      <c r="A39" s="64"/>
      <c r="B39" s="6"/>
      <c r="C39" s="175"/>
      <c r="D39" s="173"/>
      <c r="E39" s="173"/>
      <c r="F39" s="173"/>
      <c r="G39" s="173"/>
      <c r="H39" s="173"/>
      <c r="I39" s="173"/>
      <c r="J39" s="173"/>
      <c r="K39" s="173"/>
      <c r="L39" s="174"/>
      <c r="N39" s="11"/>
      <c r="O39" s="6"/>
      <c r="P39" s="6"/>
      <c r="Q39" s="6"/>
      <c r="R39" s="67"/>
      <c r="S39" s="18"/>
      <c r="T39" s="18"/>
      <c r="U39" s="18"/>
      <c r="V39" s="18"/>
      <c r="W39" s="18"/>
      <c r="X39" s="47"/>
    </row>
    <row r="40" spans="1:24" x14ac:dyDescent="0.3">
      <c r="A40" s="64"/>
      <c r="B40" s="6"/>
      <c r="C40" s="175"/>
      <c r="D40" s="173"/>
      <c r="E40" s="173"/>
      <c r="F40" s="173"/>
      <c r="G40" s="173"/>
      <c r="H40" s="173"/>
      <c r="I40" s="173"/>
      <c r="J40" s="173"/>
      <c r="K40" s="173"/>
      <c r="L40" s="174"/>
      <c r="N40" s="178"/>
      <c r="O40" s="6"/>
      <c r="P40" s="6"/>
      <c r="Q40" s="46"/>
      <c r="R40" s="18"/>
      <c r="S40" s="18"/>
      <c r="T40" s="18"/>
      <c r="U40" s="18"/>
      <c r="V40" s="18"/>
      <c r="W40" s="18"/>
      <c r="X40" s="47"/>
    </row>
    <row r="41" spans="1:24" x14ac:dyDescent="0.3">
      <c r="A41" s="64"/>
      <c r="B41" s="6"/>
      <c r="C41" s="175"/>
      <c r="D41" s="173"/>
      <c r="E41" s="173"/>
      <c r="F41" s="173"/>
      <c r="G41" s="173"/>
      <c r="H41" s="173"/>
      <c r="I41" s="173"/>
      <c r="J41" s="173"/>
      <c r="K41" s="173"/>
      <c r="L41" s="174"/>
      <c r="N41" s="11"/>
      <c r="O41" s="11"/>
      <c r="P41" s="11"/>
      <c r="Q41" s="11"/>
      <c r="R41" s="18"/>
      <c r="S41" s="18"/>
      <c r="T41" s="18"/>
      <c r="U41" s="18"/>
      <c r="V41" s="18"/>
      <c r="W41" s="18"/>
      <c r="X41" s="47"/>
    </row>
    <row r="42" spans="1:24" x14ac:dyDescent="0.3">
      <c r="A42" s="64"/>
      <c r="B42" s="6"/>
      <c r="C42" s="175"/>
      <c r="D42" s="173"/>
      <c r="E42" s="173"/>
      <c r="F42" s="173"/>
      <c r="G42" s="173"/>
      <c r="H42" s="173"/>
      <c r="I42" s="173"/>
      <c r="J42" s="173"/>
      <c r="K42" s="173"/>
      <c r="L42" s="174"/>
      <c r="N42" s="49"/>
      <c r="O42" s="11"/>
      <c r="P42" s="11"/>
      <c r="Q42" s="11"/>
      <c r="R42" s="18"/>
      <c r="S42" s="18"/>
      <c r="T42" s="18"/>
      <c r="U42" s="18"/>
      <c r="V42" s="51"/>
      <c r="W42" s="51"/>
      <c r="X42" s="52"/>
    </row>
    <row r="43" spans="1:24" s="30" customFormat="1" x14ac:dyDescent="0.3">
      <c r="A43" s="64"/>
      <c r="B43" s="6"/>
      <c r="C43" s="175"/>
      <c r="D43" s="173"/>
      <c r="E43" s="173"/>
      <c r="F43" s="173"/>
      <c r="G43" s="173"/>
      <c r="H43" s="173"/>
      <c r="I43" s="173"/>
      <c r="J43" s="173"/>
      <c r="K43" s="173"/>
      <c r="L43" s="174"/>
      <c r="M43" s="29"/>
      <c r="N43" s="53"/>
      <c r="O43" s="6"/>
      <c r="P43" s="6"/>
      <c r="Q43" s="179"/>
      <c r="R43" s="18"/>
      <c r="S43" s="18"/>
      <c r="T43" s="18"/>
      <c r="U43" s="18"/>
      <c r="V43" s="51"/>
      <c r="W43" s="51"/>
      <c r="X43" s="52"/>
    </row>
    <row r="44" spans="1:24" ht="14.5" x14ac:dyDescent="0.35">
      <c r="A44" s="64"/>
      <c r="B44" s="6"/>
      <c r="C44" s="72"/>
      <c r="D44" s="73"/>
      <c r="E44" s="6"/>
      <c r="F44" s="6"/>
      <c r="G44" s="18"/>
      <c r="H44" s="18"/>
      <c r="I44" s="18"/>
      <c r="J44" s="6"/>
      <c r="K44" s="18"/>
      <c r="L44" s="74"/>
      <c r="N44" s="53"/>
      <c r="O44" s="6"/>
      <c r="P44" s="6"/>
      <c r="Q44" s="179"/>
      <c r="R44" s="25"/>
      <c r="S44" s="25"/>
      <c r="T44" s="25"/>
      <c r="U44" s="25"/>
    </row>
    <row r="45" spans="1:24" ht="15" thickBot="1" x14ac:dyDescent="0.4">
      <c r="A45" s="64"/>
      <c r="B45" s="6"/>
      <c r="C45" s="86" t="s">
        <v>166</v>
      </c>
      <c r="D45" s="73"/>
      <c r="E45" s="6"/>
      <c r="F45" s="6"/>
      <c r="G45" s="18"/>
      <c r="H45" s="18"/>
      <c r="I45" s="18"/>
      <c r="J45" s="6"/>
      <c r="K45" s="18"/>
      <c r="L45" s="65"/>
      <c r="N45" s="53"/>
      <c r="O45" s="11"/>
      <c r="P45" s="11"/>
      <c r="Q45" s="11"/>
      <c r="R45" s="30"/>
      <c r="S45" s="30"/>
      <c r="T45" s="30"/>
      <c r="U45" s="30"/>
      <c r="V45" s="30"/>
      <c r="W45" s="30"/>
      <c r="X45" s="30"/>
    </row>
    <row r="46" spans="1:24" x14ac:dyDescent="0.3">
      <c r="A46" s="3" t="s">
        <v>0</v>
      </c>
      <c r="B46" s="4" t="s">
        <v>1</v>
      </c>
      <c r="C46" s="4" t="s">
        <v>2</v>
      </c>
      <c r="D46" s="4" t="s">
        <v>44</v>
      </c>
      <c r="E46" s="59" t="s">
        <v>45</v>
      </c>
      <c r="F46" s="4" t="s">
        <v>3</v>
      </c>
      <c r="G46" s="4" t="s">
        <v>4</v>
      </c>
      <c r="H46" s="4" t="s">
        <v>5</v>
      </c>
      <c r="I46" s="4" t="s">
        <v>100</v>
      </c>
      <c r="J46" s="4" t="s">
        <v>6</v>
      </c>
      <c r="K46" s="4" t="s">
        <v>7</v>
      </c>
      <c r="L46" s="5" t="s">
        <v>8</v>
      </c>
      <c r="M46" s="6"/>
      <c r="N46" s="7" t="s">
        <v>157</v>
      </c>
      <c r="O46" s="8"/>
      <c r="P46" s="9"/>
      <c r="Q46" s="10"/>
      <c r="T46" s="11"/>
      <c r="U46" s="11"/>
      <c r="V46" s="11"/>
      <c r="W46" s="12"/>
    </row>
    <row r="47" spans="1:24" x14ac:dyDescent="0.3">
      <c r="A47" s="90" t="s">
        <v>38</v>
      </c>
      <c r="B47" s="92" t="s">
        <v>11</v>
      </c>
      <c r="C47" s="92">
        <v>40</v>
      </c>
      <c r="D47" s="91">
        <v>0.5</v>
      </c>
      <c r="E47" s="92">
        <v>1.5</v>
      </c>
      <c r="F47" s="92">
        <v>2</v>
      </c>
      <c r="G47" s="91">
        <v>40</v>
      </c>
      <c r="H47" s="91">
        <f t="shared" ref="H47" si="7">C47*4+D47*G47+E47*(F47)*G47</f>
        <v>300</v>
      </c>
      <c r="I47" s="91">
        <f t="shared" ref="I47:I48" si="8">F47*G47*E47</f>
        <v>120</v>
      </c>
      <c r="J47" s="92">
        <v>20</v>
      </c>
      <c r="K47" s="91">
        <f>G47*J47</f>
        <v>800</v>
      </c>
      <c r="L47" s="93">
        <f t="shared" ref="L47:L48" si="9">K47*29000/60-H47*323.7</f>
        <v>289556.66666666669</v>
      </c>
      <c r="N47" s="17" t="s">
        <v>154</v>
      </c>
      <c r="O47" s="27"/>
      <c r="P47" s="6"/>
      <c r="Q47" s="28">
        <f>K49/60</f>
        <v>18.333333333333332</v>
      </c>
    </row>
    <row r="48" spans="1:24" x14ac:dyDescent="0.3">
      <c r="A48" s="90" t="s">
        <v>168</v>
      </c>
      <c r="B48" s="92" t="s">
        <v>11</v>
      </c>
      <c r="C48" s="92">
        <v>8</v>
      </c>
      <c r="D48" s="91">
        <v>1.75</v>
      </c>
      <c r="E48" s="92">
        <v>3.5</v>
      </c>
      <c r="F48" s="92">
        <v>2</v>
      </c>
      <c r="G48" s="91">
        <v>10</v>
      </c>
      <c r="H48" s="91">
        <f>C48*4+D48*G48+E48*(F48)*G48</f>
        <v>119.5</v>
      </c>
      <c r="I48" s="91">
        <f t="shared" si="8"/>
        <v>70</v>
      </c>
      <c r="J48" s="92">
        <v>30</v>
      </c>
      <c r="K48" s="91">
        <f>G48*J48</f>
        <v>300</v>
      </c>
      <c r="L48" s="93">
        <f t="shared" si="9"/>
        <v>106317.85</v>
      </c>
      <c r="N48" s="17" t="s">
        <v>107</v>
      </c>
      <c r="O48" s="27"/>
      <c r="P48" s="6"/>
      <c r="Q48" s="28">
        <f>H49</f>
        <v>419.5</v>
      </c>
    </row>
    <row r="49" spans="1:17" ht="13.5" thickBot="1" x14ac:dyDescent="0.35">
      <c r="A49" s="33" t="s">
        <v>15</v>
      </c>
      <c r="B49" s="34"/>
      <c r="C49" s="35">
        <f>SUM(C47:C48)*4</f>
        <v>192</v>
      </c>
      <c r="D49" s="34"/>
      <c r="E49" s="35"/>
      <c r="F49" s="34"/>
      <c r="G49" s="34">
        <f t="shared" ref="G49:L49" si="10">SUM(G47:G48)</f>
        <v>50</v>
      </c>
      <c r="H49" s="34">
        <f t="shared" si="10"/>
        <v>419.5</v>
      </c>
      <c r="I49" s="34">
        <f t="shared" si="10"/>
        <v>190</v>
      </c>
      <c r="J49" s="34">
        <f t="shared" si="10"/>
        <v>50</v>
      </c>
      <c r="K49" s="34">
        <f t="shared" si="10"/>
        <v>1100</v>
      </c>
      <c r="L49" s="88">
        <f t="shared" si="10"/>
        <v>395874.51666666672</v>
      </c>
      <c r="N49" s="24" t="s">
        <v>158</v>
      </c>
      <c r="O49" s="37"/>
      <c r="P49" s="38"/>
      <c r="Q49" s="163">
        <f>(Q48)/847</f>
        <v>0.49527744982290439</v>
      </c>
    </row>
    <row r="50" spans="1:17" x14ac:dyDescent="0.3">
      <c r="A50" s="64"/>
      <c r="B50" s="6"/>
      <c r="C50" s="6"/>
      <c r="D50" s="18"/>
      <c r="E50" s="6"/>
      <c r="F50" s="6"/>
      <c r="G50" s="18"/>
      <c r="H50" s="18"/>
      <c r="I50" s="18"/>
      <c r="J50" s="6"/>
      <c r="K50" s="18"/>
      <c r="L50" s="65"/>
      <c r="O50" s="32"/>
    </row>
    <row r="51" spans="1:17" x14ac:dyDescent="0.3">
      <c r="A51" s="64"/>
      <c r="B51" s="6"/>
      <c r="C51" s="6"/>
      <c r="D51" s="18"/>
      <c r="E51" s="6"/>
      <c r="F51" s="6"/>
      <c r="G51" s="18"/>
      <c r="H51" s="18"/>
      <c r="I51" s="18"/>
      <c r="J51" s="6"/>
      <c r="K51" s="18"/>
      <c r="L51" s="65"/>
    </row>
    <row r="52" spans="1:17" x14ac:dyDescent="0.3">
      <c r="A52" s="64"/>
      <c r="B52" s="6"/>
      <c r="C52" s="6"/>
      <c r="D52" s="18"/>
      <c r="E52" s="6"/>
      <c r="F52" s="6"/>
      <c r="G52" s="18"/>
      <c r="H52" s="18"/>
      <c r="I52" s="18"/>
      <c r="J52" s="6"/>
      <c r="K52" s="18"/>
      <c r="L52" s="65"/>
      <c r="N52" s="6"/>
    </row>
    <row r="53" spans="1:17" x14ac:dyDescent="0.3">
      <c r="A53" s="64"/>
      <c r="B53" s="6"/>
      <c r="C53" s="6"/>
      <c r="D53" s="18"/>
      <c r="E53" s="6"/>
      <c r="F53" s="6"/>
      <c r="G53" s="18"/>
      <c r="H53" s="18"/>
      <c r="I53" s="18"/>
      <c r="J53" s="6"/>
      <c r="K53" s="18"/>
      <c r="L53" s="65"/>
    </row>
    <row r="54" spans="1:17" x14ac:dyDescent="0.3">
      <c r="A54" s="66"/>
      <c r="B54" s="34"/>
      <c r="C54" s="35"/>
      <c r="D54" s="34"/>
      <c r="E54" s="35"/>
      <c r="F54" s="34"/>
      <c r="G54" s="34"/>
      <c r="H54" s="34"/>
      <c r="I54" s="34"/>
      <c r="J54" s="34"/>
      <c r="K54" s="34"/>
      <c r="L54" s="65"/>
    </row>
    <row r="55" spans="1:17" x14ac:dyDescent="0.3">
      <c r="A55" s="68"/>
      <c r="B55" s="69"/>
      <c r="C55" s="69"/>
      <c r="D55" s="69"/>
      <c r="E55" s="69"/>
      <c r="F55" s="69"/>
      <c r="G55" s="69"/>
      <c r="H55" s="69"/>
      <c r="I55" s="69"/>
      <c r="J55" s="69"/>
      <c r="K55" s="69"/>
      <c r="L55" s="70"/>
    </row>
    <row r="56" spans="1:17" x14ac:dyDescent="0.3">
      <c r="A56" s="64"/>
      <c r="B56" s="6"/>
      <c r="C56" s="6"/>
      <c r="D56" s="18"/>
      <c r="E56" s="18"/>
      <c r="F56" s="18"/>
      <c r="G56" s="18"/>
      <c r="H56" s="18"/>
      <c r="I56" s="18"/>
      <c r="J56" s="18"/>
      <c r="K56" s="18"/>
      <c r="L56" s="65"/>
    </row>
    <row r="58" spans="1:17" x14ac:dyDescent="0.3">
      <c r="E58" s="51" t="s">
        <v>22</v>
      </c>
    </row>
    <row r="62" spans="1:17" x14ac:dyDescent="0.3">
      <c r="O62" s="57"/>
    </row>
    <row r="65" spans="1:14" s="30" customFormat="1" x14ac:dyDescent="0.3">
      <c r="A65" s="56"/>
      <c r="B65" s="51"/>
      <c r="C65" s="51"/>
      <c r="D65" s="51"/>
      <c r="E65" s="51"/>
      <c r="F65" s="51"/>
      <c r="G65" s="51"/>
      <c r="H65" s="51"/>
      <c r="I65" s="51"/>
      <c r="J65" s="51"/>
      <c r="K65" s="51"/>
      <c r="L65" s="52"/>
      <c r="M65" s="29"/>
      <c r="N65" s="2"/>
    </row>
    <row r="67" spans="1:14" x14ac:dyDescent="0.3">
      <c r="N67" s="30"/>
    </row>
    <row r="73" spans="1:14" x14ac:dyDescent="0.3">
      <c r="M73" s="2"/>
    </row>
    <row r="74" spans="1:14" x14ac:dyDescent="0.3">
      <c r="M74" s="2"/>
    </row>
    <row r="75" spans="1:14" x14ac:dyDescent="0.3">
      <c r="M75" s="2"/>
    </row>
    <row r="76" spans="1:14" x14ac:dyDescent="0.3">
      <c r="M76" s="2"/>
    </row>
    <row r="77" spans="1:14" x14ac:dyDescent="0.3">
      <c r="M77" s="2"/>
    </row>
    <row r="78" spans="1:14" x14ac:dyDescent="0.3">
      <c r="M78" s="2"/>
    </row>
    <row r="79" spans="1:14" x14ac:dyDescent="0.3">
      <c r="M79" s="2"/>
    </row>
    <row r="80" spans="1:14" x14ac:dyDescent="0.3">
      <c r="M80" s="2"/>
    </row>
    <row r="81" spans="1:14" x14ac:dyDescent="0.3">
      <c r="M81" s="2"/>
    </row>
    <row r="82" spans="1:14" x14ac:dyDescent="0.3">
      <c r="M82" s="2"/>
    </row>
    <row r="83" spans="1:14" x14ac:dyDescent="0.3">
      <c r="M83" s="2"/>
    </row>
    <row r="84" spans="1:14" x14ac:dyDescent="0.3">
      <c r="M84" s="2"/>
    </row>
    <row r="85" spans="1:14" x14ac:dyDescent="0.3">
      <c r="M85" s="2"/>
    </row>
    <row r="86" spans="1:14" x14ac:dyDescent="0.3">
      <c r="M86" s="2"/>
    </row>
    <row r="87" spans="1:14" x14ac:dyDescent="0.3">
      <c r="M87" s="2"/>
    </row>
    <row r="88" spans="1:14" x14ac:dyDescent="0.3">
      <c r="M88" s="2"/>
    </row>
    <row r="90" spans="1:14" s="30" customFormat="1" x14ac:dyDescent="0.3">
      <c r="A90" s="56"/>
      <c r="B90" s="51"/>
      <c r="C90" s="51"/>
      <c r="D90" s="51"/>
      <c r="E90" s="51"/>
      <c r="F90" s="51"/>
      <c r="G90" s="51"/>
      <c r="H90" s="51"/>
      <c r="I90" s="51"/>
      <c r="J90" s="51"/>
      <c r="K90" s="51"/>
      <c r="L90" s="52"/>
      <c r="M90" s="29"/>
      <c r="N90" s="2"/>
    </row>
    <row r="92" spans="1:14" x14ac:dyDescent="0.3">
      <c r="N92" s="30"/>
    </row>
    <row r="101" spans="13:13" x14ac:dyDescent="0.3">
      <c r="M101" s="58"/>
    </row>
  </sheetData>
  <mergeCells count="2">
    <mergeCell ref="A2:L2"/>
    <mergeCell ref="C36:L43"/>
  </mergeCells>
  <conditionalFormatting sqref="L30:L32">
    <cfRule type="cellIs" dxfId="91" priority="63" operator="lessThan">
      <formula>0</formula>
    </cfRule>
  </conditionalFormatting>
  <conditionalFormatting sqref="L56 L35 L44:L45 L50:L52">
    <cfRule type="cellIs" dxfId="90" priority="62" operator="lessThan">
      <formula>0</formula>
    </cfRule>
  </conditionalFormatting>
  <conditionalFormatting sqref="L34">
    <cfRule type="cellIs" dxfId="89" priority="61" operator="lessThan">
      <formula>0</formula>
    </cfRule>
  </conditionalFormatting>
  <conditionalFormatting sqref="L33">
    <cfRule type="cellIs" dxfId="88" priority="60" operator="lessThan">
      <formula>0</formula>
    </cfRule>
  </conditionalFormatting>
  <conditionalFormatting sqref="L5">
    <cfRule type="cellIs" dxfId="87" priority="58" operator="lessThan">
      <formula>0</formula>
    </cfRule>
  </conditionalFormatting>
  <conditionalFormatting sqref="L53">
    <cfRule type="cellIs" dxfId="86" priority="59" operator="lessThan">
      <formula>0</formula>
    </cfRule>
  </conditionalFormatting>
  <conditionalFormatting sqref="L7">
    <cfRule type="cellIs" dxfId="85" priority="25" operator="lessThan">
      <formula>0</formula>
    </cfRule>
  </conditionalFormatting>
  <conditionalFormatting sqref="L8">
    <cfRule type="cellIs" dxfId="84" priority="24" operator="lessThan">
      <formula>0</formula>
    </cfRule>
  </conditionalFormatting>
  <conditionalFormatting sqref="L10">
    <cfRule type="cellIs" dxfId="83" priority="23" operator="lessThan">
      <formula>0</formula>
    </cfRule>
  </conditionalFormatting>
  <conditionalFormatting sqref="L12">
    <cfRule type="cellIs" dxfId="82" priority="22" operator="lessThan">
      <formula>0</formula>
    </cfRule>
  </conditionalFormatting>
  <conditionalFormatting sqref="L13">
    <cfRule type="cellIs" dxfId="81" priority="21" operator="lessThan">
      <formula>0</formula>
    </cfRule>
  </conditionalFormatting>
  <conditionalFormatting sqref="L14">
    <cfRule type="cellIs" dxfId="80" priority="20" operator="lessThan">
      <formula>0</formula>
    </cfRule>
  </conditionalFormatting>
  <conditionalFormatting sqref="L15">
    <cfRule type="cellIs" dxfId="79" priority="19" operator="lessThan">
      <formula>0</formula>
    </cfRule>
  </conditionalFormatting>
  <conditionalFormatting sqref="L16">
    <cfRule type="cellIs" dxfId="78" priority="18" operator="lessThan">
      <formula>0</formula>
    </cfRule>
  </conditionalFormatting>
  <conditionalFormatting sqref="L18">
    <cfRule type="cellIs" dxfId="77" priority="16" operator="lessThan">
      <formula>0</formula>
    </cfRule>
  </conditionalFormatting>
  <conditionalFormatting sqref="L22">
    <cfRule type="cellIs" dxfId="76" priority="12" operator="lessThan">
      <formula>0</formula>
    </cfRule>
  </conditionalFormatting>
  <conditionalFormatting sqref="L23">
    <cfRule type="cellIs" dxfId="75" priority="11" operator="lessThan">
      <formula>0</formula>
    </cfRule>
  </conditionalFormatting>
  <conditionalFormatting sqref="L24">
    <cfRule type="cellIs" dxfId="74" priority="10" operator="lessThan">
      <formula>0</formula>
    </cfRule>
  </conditionalFormatting>
  <conditionalFormatting sqref="L17">
    <cfRule type="cellIs" dxfId="73" priority="9" operator="lessThan">
      <formula>0</formula>
    </cfRule>
  </conditionalFormatting>
  <conditionalFormatting sqref="L19">
    <cfRule type="cellIs" dxfId="72" priority="8" operator="lessThan">
      <formula>0</formula>
    </cfRule>
  </conditionalFormatting>
  <conditionalFormatting sqref="L20">
    <cfRule type="cellIs" dxfId="71" priority="7" operator="lessThan">
      <formula>0</formula>
    </cfRule>
  </conditionalFormatting>
  <conditionalFormatting sqref="L21">
    <cfRule type="cellIs" dxfId="70" priority="6" operator="lessThan">
      <formula>0</formula>
    </cfRule>
  </conditionalFormatting>
  <conditionalFormatting sqref="L6">
    <cfRule type="cellIs" dxfId="69" priority="5" operator="lessThan">
      <formula>0</formula>
    </cfRule>
  </conditionalFormatting>
  <conditionalFormatting sqref="L9">
    <cfRule type="cellIs" dxfId="68" priority="4" operator="lessThan">
      <formula>0</formula>
    </cfRule>
  </conditionalFormatting>
  <conditionalFormatting sqref="L11">
    <cfRule type="cellIs" dxfId="67" priority="3" operator="lessThan">
      <formula>0</formula>
    </cfRule>
  </conditionalFormatting>
  <conditionalFormatting sqref="L47">
    <cfRule type="cellIs" dxfId="66" priority="2" operator="lessThan">
      <formula>0</formula>
    </cfRule>
  </conditionalFormatting>
  <conditionalFormatting sqref="L48">
    <cfRule type="cellIs" dxfId="65" priority="1" operator="lessThan">
      <formula>0</formula>
    </cfRule>
  </conditionalFormatting>
  <pageMargins left="0.70866141732283472" right="0.70866141732283472" top="0.74803149606299213" bottom="0.74803149606299213" header="0.31496062992125984" footer="0.31496062992125984"/>
  <pageSetup paperSize="9" scale="71" fitToWidth="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K16" sqref="K16"/>
    </sheetView>
  </sheetViews>
  <sheetFormatPr baseColWidth="10" defaultColWidth="9.1796875" defaultRowHeight="14.5" x14ac:dyDescent="0.35"/>
  <cols>
    <col min="1" max="1" width="39.81640625" customWidth="1"/>
    <col min="2" max="2" width="10.453125" customWidth="1"/>
    <col min="3" max="4" width="11.54296875" customWidth="1"/>
    <col min="5" max="5" width="12.54296875" customWidth="1"/>
    <col min="6" max="6" width="12.81640625" customWidth="1"/>
    <col min="7" max="7" width="11.54296875" customWidth="1"/>
  </cols>
  <sheetData>
    <row r="1" spans="1:7" ht="15.5" x14ac:dyDescent="0.35">
      <c r="A1" s="107" t="s">
        <v>115</v>
      </c>
      <c r="B1" s="108"/>
    </row>
    <row r="3" spans="1:7" x14ac:dyDescent="0.35">
      <c r="A3" s="109" t="s">
        <v>132</v>
      </c>
    </row>
    <row r="4" spans="1:7" ht="15" thickBot="1" x14ac:dyDescent="0.4">
      <c r="A4" s="109" t="s">
        <v>133</v>
      </c>
      <c r="B4" s="108"/>
    </row>
    <row r="5" spans="1:7" ht="29.5" thickBot="1" x14ac:dyDescent="0.4">
      <c r="A5" s="110"/>
      <c r="B5" s="111" t="s">
        <v>116</v>
      </c>
      <c r="C5" s="112" t="s">
        <v>117</v>
      </c>
      <c r="D5" s="113" t="s">
        <v>118</v>
      </c>
      <c r="E5" s="113" t="s">
        <v>119</v>
      </c>
      <c r="F5" s="113" t="s">
        <v>120</v>
      </c>
    </row>
    <row r="6" spans="1:7" x14ac:dyDescent="0.35">
      <c r="A6" s="114" t="s">
        <v>121</v>
      </c>
      <c r="B6" s="137">
        <f>SUM(C6:F6)</f>
        <v>97</v>
      </c>
      <c r="C6" s="138">
        <v>26</v>
      </c>
      <c r="D6" s="138">
        <v>23</v>
      </c>
      <c r="E6" s="138">
        <v>24</v>
      </c>
      <c r="F6" s="138">
        <v>24</v>
      </c>
    </row>
    <row r="7" spans="1:7" x14ac:dyDescent="0.35">
      <c r="A7" s="115" t="s">
        <v>122</v>
      </c>
      <c r="B7" s="139">
        <f>SUM(C7:F7)</f>
        <v>40</v>
      </c>
      <c r="C7" s="140">
        <v>13</v>
      </c>
      <c r="D7" s="140">
        <v>11</v>
      </c>
      <c r="E7" s="140">
        <v>6</v>
      </c>
      <c r="F7" s="140">
        <v>10</v>
      </c>
    </row>
    <row r="8" spans="1:7" x14ac:dyDescent="0.35">
      <c r="A8" s="117" t="s">
        <v>123</v>
      </c>
      <c r="B8" s="139">
        <f>SUM(C8:F8)</f>
        <v>44</v>
      </c>
      <c r="C8" s="118">
        <v>13</v>
      </c>
      <c r="D8" s="119">
        <v>11</v>
      </c>
      <c r="E8" s="119">
        <v>8</v>
      </c>
      <c r="F8" s="119">
        <v>12</v>
      </c>
      <c r="G8" s="120" t="s">
        <v>124</v>
      </c>
    </row>
    <row r="9" spans="1:7" ht="15" thickBot="1" x14ac:dyDescent="0.4">
      <c r="A9" s="121"/>
      <c r="B9" s="122"/>
      <c r="C9" s="123"/>
      <c r="D9" s="124"/>
      <c r="E9" s="124"/>
      <c r="F9" s="124"/>
    </row>
    <row r="10" spans="1:7" ht="15" thickTop="1" x14ac:dyDescent="0.35">
      <c r="A10" s="125" t="s">
        <v>125</v>
      </c>
      <c r="B10" s="126">
        <v>323.10000000000002</v>
      </c>
      <c r="C10" s="127">
        <v>323.10000000000002</v>
      </c>
      <c r="D10" s="128">
        <v>323.10000000000002</v>
      </c>
      <c r="E10" s="128">
        <v>323.10000000000002</v>
      </c>
      <c r="F10" s="128">
        <v>323.10000000000002</v>
      </c>
    </row>
    <row r="11" spans="1:7" x14ac:dyDescent="0.35">
      <c r="A11" s="125" t="s">
        <v>134</v>
      </c>
      <c r="B11" s="141"/>
      <c r="C11" s="142">
        <v>6</v>
      </c>
      <c r="D11" s="143">
        <v>6</v>
      </c>
      <c r="E11" s="143">
        <v>5</v>
      </c>
      <c r="F11" s="143">
        <v>3</v>
      </c>
    </row>
    <row r="12" spans="1:7" x14ac:dyDescent="0.35">
      <c r="A12" s="144" t="s">
        <v>135</v>
      </c>
      <c r="B12" s="116"/>
      <c r="C12" s="145">
        <v>9</v>
      </c>
      <c r="D12" s="146">
        <v>9</v>
      </c>
      <c r="E12" s="146">
        <v>6</v>
      </c>
      <c r="F12" s="147">
        <v>5</v>
      </c>
    </row>
    <row r="13" spans="1:7" x14ac:dyDescent="0.35">
      <c r="A13" s="129" t="s">
        <v>126</v>
      </c>
      <c r="B13" s="116"/>
      <c r="C13" s="148">
        <v>5</v>
      </c>
      <c r="D13" s="149">
        <v>5</v>
      </c>
      <c r="E13" s="149">
        <v>8</v>
      </c>
      <c r="F13" s="149">
        <v>3</v>
      </c>
    </row>
    <row r="14" spans="1:7" ht="15" thickBot="1" x14ac:dyDescent="0.4">
      <c r="A14" s="130"/>
      <c r="B14" s="131"/>
      <c r="C14" s="132"/>
      <c r="D14" s="133"/>
      <c r="E14" s="133"/>
      <c r="F14" s="133"/>
    </row>
    <row r="15" spans="1:7" ht="15.5" thickTop="1" thickBot="1" x14ac:dyDescent="0.4">
      <c r="A15" s="150" t="s">
        <v>127</v>
      </c>
      <c r="B15" s="151">
        <f>SUM(C15:F15)</f>
        <v>49434.3</v>
      </c>
      <c r="C15" s="152">
        <f>SUM(C10*C12*C13)</f>
        <v>14539.5</v>
      </c>
      <c r="D15" s="152">
        <f>SUM(D10*D12*D13)</f>
        <v>14539.5</v>
      </c>
      <c r="E15" s="152">
        <f>SUM(E10*E12*E13)</f>
        <v>15508.800000000001</v>
      </c>
      <c r="F15" s="152">
        <f>SUM(F10*F12*F13)</f>
        <v>4846.5</v>
      </c>
    </row>
    <row r="16" spans="1:7" ht="15" thickTop="1" x14ac:dyDescent="0.35">
      <c r="A16" s="134" t="s">
        <v>128</v>
      </c>
      <c r="B16" s="135">
        <f>SUM(C16:F16)</f>
        <v>531176.4</v>
      </c>
      <c r="C16" s="153">
        <f>SUM(C15*C8)</f>
        <v>189013.5</v>
      </c>
      <c r="D16" s="153">
        <f>SUM(D15*D8)</f>
        <v>159934.5</v>
      </c>
      <c r="E16" s="153">
        <f>SUM(E15*E8)</f>
        <v>124070.40000000001</v>
      </c>
      <c r="F16" s="153">
        <f>SUM(F15*F8)</f>
        <v>58158</v>
      </c>
    </row>
    <row r="17" spans="1:6" x14ac:dyDescent="0.35">
      <c r="A17" s="154" t="s">
        <v>129</v>
      </c>
      <c r="B17" s="155">
        <f>SUM(C17:F17)</f>
        <v>531176.4</v>
      </c>
      <c r="C17" s="156">
        <v>189013.5</v>
      </c>
      <c r="D17" s="156">
        <v>159934.5</v>
      </c>
      <c r="E17" s="176">
        <f>SUM(E16+F16)</f>
        <v>182228.40000000002</v>
      </c>
      <c r="F17" s="177"/>
    </row>
    <row r="18" spans="1:6" ht="15" thickBot="1" x14ac:dyDescent="0.4"/>
    <row r="19" spans="1:6" ht="15" thickBot="1" x14ac:dyDescent="0.4">
      <c r="A19" t="s">
        <v>136</v>
      </c>
      <c r="B19" s="157">
        <v>550000</v>
      </c>
    </row>
    <row r="20" spans="1:6" x14ac:dyDescent="0.35">
      <c r="A20" s="136"/>
    </row>
  </sheetData>
  <mergeCells count="1">
    <mergeCell ref="E17:F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7"/>
  <sheetViews>
    <sheetView topLeftCell="E19" zoomScale="80" zoomScaleNormal="80" workbookViewId="0">
      <selection activeCell="Q47" sqref="Q47"/>
    </sheetView>
  </sheetViews>
  <sheetFormatPr baseColWidth="10" defaultColWidth="9.1796875" defaultRowHeight="13" x14ac:dyDescent="0.3"/>
  <cols>
    <col min="1" max="1" width="41.81640625" style="56" customWidth="1"/>
    <col min="2" max="2" width="10.81640625" style="51" customWidth="1"/>
    <col min="3" max="3" width="10.7265625" style="51" customWidth="1"/>
    <col min="4" max="4" width="12.54296875" style="51" customWidth="1"/>
    <col min="5" max="5" width="11.26953125" style="51" customWidth="1"/>
    <col min="6" max="6" width="9.7265625" style="51" customWidth="1"/>
    <col min="7" max="7" width="10" style="51" customWidth="1"/>
    <col min="8" max="9" width="14.1796875" style="51" customWidth="1"/>
    <col min="10" max="10" width="5.7265625" style="51" customWidth="1"/>
    <col min="11" max="11" width="9.7265625" style="51" customWidth="1"/>
    <col min="12" max="12" width="12.54296875" style="52" bestFit="1" customWidth="1"/>
    <col min="13" max="13" width="13.7265625" style="1" customWidth="1"/>
    <col min="14" max="14" width="36.81640625" style="2" customWidth="1"/>
    <col min="15" max="15" width="10.1796875" style="2" customWidth="1"/>
    <col min="16" max="16" width="30" style="2" customWidth="1"/>
    <col min="17" max="17" width="9.81640625" style="2" bestFit="1" customWidth="1"/>
    <col min="18" max="18" width="27.26953125" style="2" bestFit="1" customWidth="1"/>
    <col min="19" max="23" width="9.1796875" style="2"/>
    <col min="24" max="24" width="50.54296875" style="2" customWidth="1"/>
    <col min="25" max="16384" width="9.1796875" style="2"/>
  </cols>
  <sheetData>
    <row r="1" spans="1:23" ht="13.5" thickBot="1" x14ac:dyDescent="0.35">
      <c r="A1" s="56" t="s">
        <v>35</v>
      </c>
    </row>
    <row r="2" spans="1:23" ht="13.5" thickBot="1" x14ac:dyDescent="0.35">
      <c r="A2" s="168" t="s">
        <v>64</v>
      </c>
      <c r="B2" s="169"/>
      <c r="C2" s="169"/>
      <c r="D2" s="169"/>
      <c r="E2" s="169"/>
      <c r="F2" s="169"/>
      <c r="G2" s="169"/>
      <c r="H2" s="169"/>
      <c r="I2" s="169"/>
      <c r="J2" s="169"/>
      <c r="K2" s="169"/>
      <c r="L2" s="170"/>
    </row>
    <row r="3" spans="1:23" x14ac:dyDescent="0.3">
      <c r="A3" s="3" t="s">
        <v>0</v>
      </c>
      <c r="B3" s="4" t="s">
        <v>1</v>
      </c>
      <c r="C3" s="4" t="s">
        <v>2</v>
      </c>
      <c r="D3" s="4" t="s">
        <v>44</v>
      </c>
      <c r="E3" s="59" t="s">
        <v>45</v>
      </c>
      <c r="F3" s="4" t="s">
        <v>3</v>
      </c>
      <c r="G3" s="4" t="s">
        <v>4</v>
      </c>
      <c r="H3" s="4" t="s">
        <v>5</v>
      </c>
      <c r="I3" s="4" t="s">
        <v>46</v>
      </c>
      <c r="J3" s="4" t="s">
        <v>6</v>
      </c>
      <c r="K3" s="4" t="s">
        <v>7</v>
      </c>
      <c r="L3" s="5" t="s">
        <v>8</v>
      </c>
      <c r="M3" s="6"/>
      <c r="N3" s="7" t="s">
        <v>9</v>
      </c>
      <c r="O3" s="8"/>
      <c r="P3" s="9"/>
      <c r="Q3" s="10"/>
      <c r="T3" s="11"/>
      <c r="U3" s="11"/>
      <c r="V3" s="11"/>
      <c r="W3" s="12"/>
    </row>
    <row r="4" spans="1:23" x14ac:dyDescent="0.3">
      <c r="A4" s="13"/>
      <c r="B4" s="14"/>
      <c r="C4" s="14"/>
      <c r="D4" s="14"/>
      <c r="E4" s="14"/>
      <c r="F4" s="14"/>
      <c r="G4" s="14"/>
      <c r="H4" s="14"/>
      <c r="I4" s="14"/>
      <c r="J4" s="14"/>
      <c r="K4" s="14"/>
      <c r="L4" s="15"/>
      <c r="M4" s="16"/>
      <c r="N4" s="97" t="s">
        <v>137</v>
      </c>
      <c r="O4" s="91">
        <f>K21</f>
        <v>2400</v>
      </c>
      <c r="P4" s="91" t="s">
        <v>106</v>
      </c>
      <c r="Q4" s="101">
        <f>(O4/60)/2</f>
        <v>20</v>
      </c>
      <c r="T4" s="11"/>
      <c r="U4" s="11"/>
      <c r="V4" s="11"/>
      <c r="W4" s="12"/>
    </row>
    <row r="5" spans="1:23" x14ac:dyDescent="0.3">
      <c r="A5" s="20" t="s">
        <v>56</v>
      </c>
      <c r="B5" s="18" t="s">
        <v>33</v>
      </c>
      <c r="C5" s="6">
        <v>22</v>
      </c>
      <c r="D5" s="18"/>
      <c r="E5" s="6">
        <v>1.5</v>
      </c>
      <c r="F5" s="18">
        <v>2</v>
      </c>
      <c r="G5" s="18">
        <f>G28</f>
        <v>20</v>
      </c>
      <c r="H5" s="18">
        <f>(C5*4)+(D5*G5)+(E5*(F5)*G5)</f>
        <v>148</v>
      </c>
      <c r="I5" s="18">
        <f>F5*G5</f>
        <v>40</v>
      </c>
      <c r="J5" s="6">
        <v>10</v>
      </c>
      <c r="K5" s="18">
        <f>G5*J5</f>
        <v>200</v>
      </c>
      <c r="L5" s="21">
        <f>K5*44907/60-H5*O6</f>
        <v>100361.60000000001</v>
      </c>
      <c r="N5" s="97"/>
      <c r="O5" s="91"/>
      <c r="P5" s="91"/>
      <c r="Q5" s="101"/>
      <c r="T5" s="11"/>
      <c r="U5" s="11"/>
      <c r="V5" s="11"/>
      <c r="W5" s="12"/>
    </row>
    <row r="6" spans="1:23" x14ac:dyDescent="0.3">
      <c r="A6" s="20" t="s">
        <v>57</v>
      </c>
      <c r="B6" s="18" t="s">
        <v>33</v>
      </c>
      <c r="C6" s="6">
        <v>26</v>
      </c>
      <c r="D6" s="18"/>
      <c r="E6" s="6">
        <v>1</v>
      </c>
      <c r="F6" s="18">
        <v>2</v>
      </c>
      <c r="G6" s="18">
        <f>G28</f>
        <v>20</v>
      </c>
      <c r="H6" s="18">
        <f t="shared" ref="H6:H20" si="0">C6*4+D6*G6+E6*(F6)*G6</f>
        <v>144</v>
      </c>
      <c r="I6" s="18">
        <f>F6*G6</f>
        <v>40</v>
      </c>
      <c r="J6" s="6">
        <v>10</v>
      </c>
      <c r="K6" s="18">
        <f>G6*J6</f>
        <v>200</v>
      </c>
      <c r="L6" s="21">
        <f>K6*44907/60-H6*O6</f>
        <v>101694.79999999999</v>
      </c>
      <c r="N6" s="97" t="s">
        <v>130</v>
      </c>
      <c r="O6" s="91">
        <v>333.3</v>
      </c>
      <c r="P6" s="91"/>
      <c r="Q6" s="101"/>
      <c r="T6" s="11"/>
      <c r="U6" s="11"/>
      <c r="V6" s="11"/>
      <c r="W6" s="12"/>
    </row>
    <row r="7" spans="1:23" x14ac:dyDescent="0.3">
      <c r="A7" s="20" t="s">
        <v>58</v>
      </c>
      <c r="B7" s="18" t="s">
        <v>34</v>
      </c>
      <c r="C7" s="6">
        <v>30</v>
      </c>
      <c r="D7" s="18">
        <v>1.5</v>
      </c>
      <c r="E7" s="6">
        <v>1.5</v>
      </c>
      <c r="F7" s="18">
        <v>2</v>
      </c>
      <c r="G7" s="18">
        <f>G28</f>
        <v>20</v>
      </c>
      <c r="H7" s="18">
        <f t="shared" si="0"/>
        <v>210</v>
      </c>
      <c r="I7" s="18">
        <f>F7*G7</f>
        <v>40</v>
      </c>
      <c r="J7" s="6">
        <v>10</v>
      </c>
      <c r="K7" s="18">
        <f>G7*J7</f>
        <v>200</v>
      </c>
      <c r="L7" s="21">
        <f>K7*44907/60-H7*O6</f>
        <v>79697</v>
      </c>
      <c r="N7" s="97"/>
      <c r="O7" s="91"/>
      <c r="P7" s="91"/>
      <c r="Q7" s="101"/>
      <c r="T7" s="11"/>
      <c r="U7" s="11"/>
      <c r="V7" s="11"/>
      <c r="W7" s="12"/>
    </row>
    <row r="8" spans="1:23" x14ac:dyDescent="0.3">
      <c r="A8" s="20" t="s">
        <v>171</v>
      </c>
      <c r="B8" s="18" t="s">
        <v>34</v>
      </c>
      <c r="C8" s="6">
        <v>20</v>
      </c>
      <c r="D8" s="18"/>
      <c r="E8" s="6">
        <v>1.5</v>
      </c>
      <c r="F8" s="18">
        <v>1</v>
      </c>
      <c r="G8" s="18">
        <f>G28</f>
        <v>20</v>
      </c>
      <c r="H8" s="18">
        <f t="shared" si="0"/>
        <v>110</v>
      </c>
      <c r="I8" s="18">
        <f>F8*G8</f>
        <v>20</v>
      </c>
      <c r="J8" s="6">
        <v>10</v>
      </c>
      <c r="K8" s="18">
        <f>G8*J8</f>
        <v>200</v>
      </c>
      <c r="L8" s="21">
        <f>K8*44907/60-H8*O6</f>
        <v>113027</v>
      </c>
      <c r="N8" s="97"/>
      <c r="O8" s="91"/>
      <c r="P8" s="91"/>
      <c r="Q8" s="101"/>
      <c r="T8" s="11"/>
      <c r="U8" s="11"/>
      <c r="V8" s="11"/>
      <c r="W8" s="12"/>
    </row>
    <row r="9" spans="1:23" x14ac:dyDescent="0.3">
      <c r="A9" s="20" t="s">
        <v>59</v>
      </c>
      <c r="B9" s="18" t="s">
        <v>33</v>
      </c>
      <c r="C9" s="6">
        <v>12</v>
      </c>
      <c r="D9" s="18"/>
      <c r="E9" s="6">
        <v>1</v>
      </c>
      <c r="F9" s="18">
        <v>2</v>
      </c>
      <c r="G9" s="18">
        <f>G28</f>
        <v>20</v>
      </c>
      <c r="H9" s="18">
        <f t="shared" si="0"/>
        <v>88</v>
      </c>
      <c r="I9" s="18">
        <f>F9*G9</f>
        <v>40</v>
      </c>
      <c r="J9" s="6">
        <v>5</v>
      </c>
      <c r="K9" s="18">
        <f>G9*J9</f>
        <v>100</v>
      </c>
      <c r="L9" s="21">
        <f>K9*44907/60-H9*O6</f>
        <v>45514.6</v>
      </c>
      <c r="N9" s="97"/>
      <c r="O9" s="91"/>
      <c r="P9" s="91"/>
      <c r="Q9" s="101"/>
      <c r="T9" s="11"/>
      <c r="U9" s="11"/>
      <c r="V9" s="11"/>
      <c r="W9" s="12"/>
    </row>
    <row r="10" spans="1:23" x14ac:dyDescent="0.3">
      <c r="A10" s="20" t="s">
        <v>60</v>
      </c>
      <c r="B10" s="6" t="s">
        <v>33</v>
      </c>
      <c r="C10" s="6">
        <v>48</v>
      </c>
      <c r="D10" s="18">
        <v>0.5</v>
      </c>
      <c r="E10" s="6">
        <v>1</v>
      </c>
      <c r="F10" s="18"/>
      <c r="G10" s="18">
        <f>G28</f>
        <v>20</v>
      </c>
      <c r="H10" s="18">
        <f>C10*3+D10*G10+E10*(F10)*G10</f>
        <v>154</v>
      </c>
      <c r="I10" s="18">
        <f t="shared" ref="I10:I16" si="1">F10*G10</f>
        <v>0</v>
      </c>
      <c r="J10" s="6">
        <v>10</v>
      </c>
      <c r="K10" s="18">
        <f t="shared" ref="K10:K19" si="2">G10*J10</f>
        <v>200</v>
      </c>
      <c r="L10" s="21">
        <f>K10*44907/60-H10*O6</f>
        <v>98361.799999999988</v>
      </c>
      <c r="N10" s="97"/>
      <c r="O10" s="91"/>
      <c r="P10" s="91"/>
      <c r="Q10" s="91"/>
      <c r="T10" s="11"/>
      <c r="U10" s="11"/>
      <c r="V10" s="11"/>
      <c r="W10" s="12"/>
    </row>
    <row r="11" spans="1:23" x14ac:dyDescent="0.3">
      <c r="A11" s="20" t="s">
        <v>61</v>
      </c>
      <c r="B11" s="18" t="s">
        <v>34</v>
      </c>
      <c r="C11" s="6">
        <v>12</v>
      </c>
      <c r="D11" s="18"/>
      <c r="E11" s="6">
        <v>1.5</v>
      </c>
      <c r="F11" s="6">
        <v>2</v>
      </c>
      <c r="G11" s="18">
        <f>G28</f>
        <v>20</v>
      </c>
      <c r="H11" s="18">
        <f t="shared" si="0"/>
        <v>108</v>
      </c>
      <c r="I11" s="18">
        <f t="shared" si="1"/>
        <v>40</v>
      </c>
      <c r="J11" s="6">
        <v>5</v>
      </c>
      <c r="K11" s="18">
        <f t="shared" si="2"/>
        <v>100</v>
      </c>
      <c r="L11" s="21">
        <f>K11*44907/60-H11*O6</f>
        <v>38848.6</v>
      </c>
      <c r="N11" s="97" t="s">
        <v>146</v>
      </c>
      <c r="O11" s="91">
        <f>H21</f>
        <v>2396</v>
      </c>
      <c r="P11" s="92" t="s">
        <v>13</v>
      </c>
      <c r="Q11" s="102">
        <f>O11/O4</f>
        <v>0.99833333333333329</v>
      </c>
      <c r="T11" s="11"/>
      <c r="U11" s="11"/>
      <c r="V11" s="11"/>
      <c r="W11" s="12"/>
    </row>
    <row r="12" spans="1:23" x14ac:dyDescent="0.3">
      <c r="A12" s="20" t="s">
        <v>169</v>
      </c>
      <c r="B12" s="6" t="s">
        <v>34</v>
      </c>
      <c r="C12" s="6">
        <f>(G28*40)</f>
        <v>800</v>
      </c>
      <c r="D12" s="18"/>
      <c r="E12" s="6">
        <v>11.5</v>
      </c>
      <c r="F12" s="6">
        <v>1</v>
      </c>
      <c r="G12" s="18">
        <f>G28</f>
        <v>20</v>
      </c>
      <c r="H12" s="18">
        <f>C12+D12*G12+E12*(F12)*G12</f>
        <v>1030</v>
      </c>
      <c r="I12" s="18">
        <f>F12*G12*E12</f>
        <v>230</v>
      </c>
      <c r="J12" s="6">
        <v>45</v>
      </c>
      <c r="K12" s="18">
        <f t="shared" si="2"/>
        <v>900</v>
      </c>
      <c r="L12" s="21">
        <f>K12*44907/60-H12*O6</f>
        <v>330306</v>
      </c>
      <c r="N12" s="97"/>
      <c r="O12" s="91"/>
      <c r="P12" s="92"/>
      <c r="Q12" s="102"/>
      <c r="T12" s="11"/>
      <c r="U12" s="11"/>
      <c r="V12" s="11"/>
      <c r="W12" s="12"/>
    </row>
    <row r="13" spans="1:23" x14ac:dyDescent="0.3">
      <c r="A13" s="56" t="s">
        <v>138</v>
      </c>
      <c r="C13" s="51">
        <v>12</v>
      </c>
      <c r="G13" s="18">
        <f>G28</f>
        <v>20</v>
      </c>
      <c r="H13" s="18">
        <f>C13*4+D13*G13+E13*(F13)*G13</f>
        <v>48</v>
      </c>
      <c r="I13" s="18">
        <f t="shared" ref="I13" si="3">F13*G13</f>
        <v>0</v>
      </c>
      <c r="J13" s="6"/>
      <c r="K13" s="18">
        <f t="shared" ref="K13" si="4">G13*J13</f>
        <v>0</v>
      </c>
      <c r="L13" s="21">
        <f>K13*44907/60-H13*O6</f>
        <v>-15998.400000000001</v>
      </c>
      <c r="N13" s="97" t="s">
        <v>148</v>
      </c>
      <c r="O13" s="91">
        <f>C16+C17+C18</f>
        <v>220</v>
      </c>
      <c r="P13" s="92"/>
      <c r="Q13" s="102"/>
      <c r="T13" s="11"/>
      <c r="U13" s="11"/>
      <c r="V13" s="11"/>
      <c r="W13" s="12"/>
    </row>
    <row r="14" spans="1:23" x14ac:dyDescent="0.3">
      <c r="A14" s="20" t="s">
        <v>172</v>
      </c>
      <c r="B14" s="6" t="s">
        <v>33</v>
      </c>
      <c r="C14" s="6">
        <v>16</v>
      </c>
      <c r="D14" s="18"/>
      <c r="E14" s="6"/>
      <c r="F14" s="6"/>
      <c r="G14" s="18"/>
      <c r="H14" s="18">
        <f>C14*4+D14*G14+E14*(F14)*G14</f>
        <v>64</v>
      </c>
      <c r="I14" s="18">
        <f>F14*G14</f>
        <v>0</v>
      </c>
      <c r="J14" s="6"/>
      <c r="K14" s="18">
        <f>G14*J14</f>
        <v>0</v>
      </c>
      <c r="L14" s="21">
        <f>K14*44907/60-H14*O6</f>
        <v>-21331.200000000001</v>
      </c>
      <c r="N14" s="97"/>
      <c r="O14" s="91"/>
      <c r="P14" s="92"/>
      <c r="Q14" s="102"/>
      <c r="T14" s="11"/>
      <c r="U14" s="11"/>
      <c r="V14" s="11"/>
      <c r="W14" s="12"/>
    </row>
    <row r="15" spans="1:23" x14ac:dyDescent="0.3">
      <c r="A15" s="20" t="s">
        <v>173</v>
      </c>
      <c r="B15" s="6" t="s">
        <v>34</v>
      </c>
      <c r="C15" s="6">
        <v>18</v>
      </c>
      <c r="D15" s="18"/>
      <c r="E15" s="6"/>
      <c r="F15" s="6"/>
      <c r="G15" s="18"/>
      <c r="H15" s="18">
        <f>C15*4+D15*G15+E15*(F15)*G15</f>
        <v>72</v>
      </c>
      <c r="I15" s="18">
        <f>F15*G15</f>
        <v>0</v>
      </c>
      <c r="J15" s="6"/>
      <c r="K15" s="18">
        <f>G15*J15</f>
        <v>0</v>
      </c>
      <c r="L15" s="21">
        <f>K15*44907/60-H15*O6</f>
        <v>-23997.600000000002</v>
      </c>
      <c r="N15" s="94" t="s">
        <v>65</v>
      </c>
      <c r="O15" s="94"/>
      <c r="P15" s="94"/>
      <c r="Q15" s="91"/>
      <c r="R15" s="25"/>
      <c r="S15" s="25"/>
      <c r="T15" s="11"/>
      <c r="U15" s="11"/>
      <c r="V15" s="11"/>
      <c r="W15" s="12"/>
    </row>
    <row r="16" spans="1:23" x14ac:dyDescent="0.3">
      <c r="A16" s="20"/>
      <c r="B16" s="6"/>
      <c r="C16" s="6"/>
      <c r="D16" s="18"/>
      <c r="E16" s="6"/>
      <c r="F16" s="6"/>
      <c r="G16" s="18"/>
      <c r="H16" s="18">
        <f t="shared" si="0"/>
        <v>0</v>
      </c>
      <c r="I16" s="18">
        <f t="shared" si="1"/>
        <v>0</v>
      </c>
      <c r="J16" s="6"/>
      <c r="K16" s="18">
        <f t="shared" si="2"/>
        <v>0</v>
      </c>
      <c r="L16" s="21">
        <f>K16*44907/60-H16*O6</f>
        <v>0</v>
      </c>
      <c r="N16" s="96" t="s">
        <v>48</v>
      </c>
      <c r="O16" s="94"/>
      <c r="P16" s="94"/>
      <c r="Q16" s="102">
        <f>(H21)/847</f>
        <v>2.8288075560802834</v>
      </c>
    </row>
    <row r="17" spans="1:24" x14ac:dyDescent="0.3">
      <c r="A17" s="90" t="s">
        <v>114</v>
      </c>
      <c r="B17" s="92"/>
      <c r="C17" s="92">
        <f>(J21-J12-15)*2</f>
        <v>120</v>
      </c>
      <c r="D17" s="91"/>
      <c r="E17" s="92"/>
      <c r="F17" s="92"/>
      <c r="G17" s="91"/>
      <c r="H17" s="91">
        <f>C17*1</f>
        <v>120</v>
      </c>
      <c r="I17" s="91">
        <f t="shared" ref="I17:I19" si="5">F17*G17*E17</f>
        <v>0</v>
      </c>
      <c r="J17" s="92"/>
      <c r="K17" s="91">
        <f t="shared" si="2"/>
        <v>0</v>
      </c>
      <c r="L17" s="93">
        <f>(K17*44907/60-H17*O6)</f>
        <v>-39996</v>
      </c>
      <c r="N17" s="96" t="s">
        <v>178</v>
      </c>
      <c r="O17" s="94"/>
      <c r="P17" s="94"/>
      <c r="Q17" s="101">
        <f>I12</f>
        <v>230</v>
      </c>
    </row>
    <row r="18" spans="1:24" x14ac:dyDescent="0.3">
      <c r="A18" s="90" t="s">
        <v>102</v>
      </c>
      <c r="B18" s="92"/>
      <c r="C18" s="92">
        <v>100</v>
      </c>
      <c r="D18" s="91"/>
      <c r="E18" s="92"/>
      <c r="F18" s="92"/>
      <c r="G18" s="91"/>
      <c r="H18" s="91">
        <f>C18*1</f>
        <v>100</v>
      </c>
      <c r="I18" s="91">
        <f t="shared" si="5"/>
        <v>0</v>
      </c>
      <c r="J18" s="92"/>
      <c r="K18" s="91">
        <f t="shared" si="2"/>
        <v>0</v>
      </c>
      <c r="L18" s="93">
        <f>(K18*44907/60-H18*O6)</f>
        <v>-33330</v>
      </c>
      <c r="N18" s="92"/>
      <c r="O18" s="103"/>
      <c r="P18" s="94"/>
      <c r="Q18" s="104"/>
    </row>
    <row r="19" spans="1:24" s="30" customFormat="1" x14ac:dyDescent="0.3">
      <c r="A19" s="90"/>
      <c r="B19" s="92"/>
      <c r="C19" s="92"/>
      <c r="D19" s="91"/>
      <c r="E19" s="92"/>
      <c r="F19" s="92"/>
      <c r="G19" s="91"/>
      <c r="H19" s="91">
        <f>C19*1</f>
        <v>0</v>
      </c>
      <c r="I19" s="91">
        <f t="shared" si="5"/>
        <v>0</v>
      </c>
      <c r="J19" s="92"/>
      <c r="K19" s="91">
        <f t="shared" si="2"/>
        <v>0</v>
      </c>
      <c r="L19" s="93">
        <f>(K19*44907/60-H19*O6)</f>
        <v>0</v>
      </c>
      <c r="M19" s="29"/>
      <c r="N19" s="96" t="s">
        <v>109</v>
      </c>
      <c r="O19" s="103">
        <v>44907</v>
      </c>
      <c r="P19" s="92" t="s">
        <v>108</v>
      </c>
      <c r="Q19" s="104">
        <f>(Q4*O19*2)</f>
        <v>1796280</v>
      </c>
    </row>
    <row r="20" spans="1:24" x14ac:dyDescent="0.3">
      <c r="A20" s="20"/>
      <c r="B20" s="6"/>
      <c r="C20" s="6"/>
      <c r="D20" s="18"/>
      <c r="E20" s="6"/>
      <c r="F20" s="6"/>
      <c r="G20" s="18"/>
      <c r="H20" s="18">
        <f t="shared" si="0"/>
        <v>0</v>
      </c>
      <c r="I20" s="18">
        <f>F20*G20</f>
        <v>0</v>
      </c>
      <c r="J20" s="6"/>
      <c r="K20" s="18">
        <f>G20*J20</f>
        <v>0</v>
      </c>
      <c r="L20" s="21">
        <f>K20*44907/60-H20*O6</f>
        <v>0</v>
      </c>
      <c r="N20" s="96" t="s">
        <v>111</v>
      </c>
      <c r="O20" s="103">
        <v>25344</v>
      </c>
      <c r="P20" s="92" t="s">
        <v>143</v>
      </c>
      <c r="Q20" s="104">
        <f>(Q4*25344)</f>
        <v>506880</v>
      </c>
    </row>
    <row r="21" spans="1:24" x14ac:dyDescent="0.3">
      <c r="A21" s="33" t="s">
        <v>15</v>
      </c>
      <c r="B21" s="34"/>
      <c r="C21" s="35">
        <f>SUM(C5:C19)</f>
        <v>1236</v>
      </c>
      <c r="D21" s="34"/>
      <c r="E21" s="35"/>
      <c r="F21" s="34"/>
      <c r="G21" s="34"/>
      <c r="H21" s="34">
        <f>SUM(H5:H19)</f>
        <v>2396</v>
      </c>
      <c r="I21" s="34">
        <f>SUM(I5:I19)</f>
        <v>450</v>
      </c>
      <c r="J21" s="99">
        <f>SUM(J4:J19)+15</f>
        <v>120</v>
      </c>
      <c r="K21" s="34">
        <f>SUM(K5:K19)+(15*G28)</f>
        <v>2400</v>
      </c>
      <c r="L21" s="87">
        <f>SUM(L5:L19)</f>
        <v>773158.20000000007</v>
      </c>
      <c r="N21" s="96" t="s">
        <v>142</v>
      </c>
      <c r="O21" s="103">
        <f>(O19*2)+O20</f>
        <v>115158</v>
      </c>
      <c r="P21" s="94"/>
      <c r="Q21" s="94"/>
    </row>
    <row r="22" spans="1:24" x14ac:dyDescent="0.3">
      <c r="A22" s="13"/>
      <c r="B22" s="14"/>
      <c r="C22" s="14"/>
      <c r="D22" s="14"/>
      <c r="E22" s="14"/>
      <c r="F22" s="14"/>
      <c r="G22" s="14"/>
      <c r="H22" s="14"/>
      <c r="I22" s="14"/>
      <c r="J22" s="14"/>
      <c r="K22" s="14"/>
      <c r="L22" s="15"/>
      <c r="N22" s="94" t="s">
        <v>110</v>
      </c>
      <c r="O22" s="94"/>
      <c r="P22" s="94"/>
      <c r="Q22" s="104">
        <f>SUM(Q19:Q21)</f>
        <v>2303160</v>
      </c>
    </row>
    <row r="23" spans="1:24" x14ac:dyDescent="0.3">
      <c r="A23" s="13"/>
      <c r="B23" s="14"/>
      <c r="C23" s="14"/>
      <c r="D23" s="14"/>
      <c r="E23" s="14"/>
      <c r="F23" s="14"/>
      <c r="G23" s="14"/>
      <c r="H23" s="14"/>
      <c r="I23" s="14"/>
      <c r="J23" s="14"/>
      <c r="K23" s="14"/>
      <c r="L23" s="15"/>
    </row>
    <row r="24" spans="1:24" x14ac:dyDescent="0.3">
      <c r="A24" s="13"/>
      <c r="B24" s="14"/>
      <c r="C24" s="14"/>
      <c r="D24" s="14"/>
      <c r="E24" s="14"/>
      <c r="F24" s="14"/>
      <c r="G24" s="14"/>
      <c r="H24" s="14"/>
      <c r="I24" s="14"/>
      <c r="J24" s="14"/>
      <c r="K24" s="14"/>
      <c r="L24" s="15"/>
    </row>
    <row r="25" spans="1:24" x14ac:dyDescent="0.3">
      <c r="A25" s="13"/>
      <c r="B25" s="14"/>
      <c r="C25" s="14"/>
      <c r="D25" s="14"/>
      <c r="E25" s="14"/>
      <c r="F25" s="14"/>
      <c r="G25" s="14"/>
      <c r="H25" s="14"/>
      <c r="I25" s="14"/>
      <c r="J25" s="14"/>
      <c r="K25" s="14"/>
      <c r="L25" s="15"/>
      <c r="N25" s="167"/>
      <c r="O25" s="11"/>
      <c r="P25" s="11"/>
      <c r="Q25" s="11"/>
    </row>
    <row r="26" spans="1:24" ht="13.5" thickBot="1" x14ac:dyDescent="0.35">
      <c r="A26" s="40"/>
      <c r="B26" s="41"/>
      <c r="C26" s="41"/>
      <c r="D26" s="42"/>
      <c r="E26" s="42"/>
      <c r="F26" s="42"/>
      <c r="G26" s="42"/>
      <c r="H26" s="18"/>
      <c r="I26" s="18"/>
      <c r="J26" s="42"/>
      <c r="K26" s="42"/>
      <c r="L26" s="43"/>
      <c r="N26" s="11"/>
      <c r="O26" s="11"/>
      <c r="P26" s="11"/>
      <c r="Q26" s="11"/>
    </row>
    <row r="27" spans="1:24" x14ac:dyDescent="0.3">
      <c r="A27" s="20"/>
      <c r="B27" s="6"/>
      <c r="C27" s="6"/>
      <c r="D27" s="18"/>
      <c r="E27" s="18"/>
      <c r="F27" s="18"/>
      <c r="G27" s="18"/>
      <c r="H27" s="18"/>
      <c r="I27" s="18"/>
      <c r="J27" s="18"/>
      <c r="K27" s="18"/>
      <c r="L27" s="21"/>
      <c r="N27" s="178"/>
      <c r="O27" s="11"/>
      <c r="P27" s="11"/>
      <c r="Q27" s="11"/>
    </row>
    <row r="28" spans="1:24" x14ac:dyDescent="0.3">
      <c r="A28" s="64"/>
      <c r="B28" s="6"/>
      <c r="C28" s="6" t="s">
        <v>141</v>
      </c>
      <c r="D28" s="18"/>
      <c r="E28" s="18"/>
      <c r="F28" s="18"/>
      <c r="G28" s="18">
        <v>20</v>
      </c>
      <c r="H28" s="18"/>
      <c r="I28" s="18"/>
      <c r="J28" s="18"/>
      <c r="K28" s="18"/>
      <c r="L28" s="65"/>
      <c r="N28" s="178"/>
      <c r="O28" s="11"/>
      <c r="P28" s="11"/>
      <c r="Q28" s="11"/>
    </row>
    <row r="29" spans="1:24" x14ac:dyDescent="0.3">
      <c r="A29" s="64"/>
      <c r="B29" s="18"/>
      <c r="C29" s="6"/>
      <c r="D29" s="18"/>
      <c r="E29" s="6"/>
      <c r="F29" s="18"/>
      <c r="G29" s="18"/>
      <c r="H29" s="18"/>
      <c r="I29" s="18"/>
      <c r="J29" s="6"/>
      <c r="K29" s="18"/>
      <c r="L29" s="65"/>
      <c r="N29" s="53"/>
      <c r="O29" s="6"/>
      <c r="P29" s="6"/>
      <c r="Q29" s="6"/>
      <c r="R29" s="67"/>
      <c r="S29" s="18"/>
      <c r="T29" s="18"/>
      <c r="U29" s="18"/>
      <c r="V29" s="18"/>
      <c r="W29" s="18"/>
      <c r="X29" s="47"/>
    </row>
    <row r="30" spans="1:24" x14ac:dyDescent="0.3">
      <c r="A30" s="64"/>
      <c r="B30" s="18"/>
      <c r="C30" s="6"/>
      <c r="D30" s="18"/>
      <c r="E30" s="6"/>
      <c r="F30" s="18"/>
      <c r="G30" s="18"/>
      <c r="H30" s="18"/>
      <c r="I30" s="18"/>
      <c r="J30" s="6"/>
      <c r="K30" s="18"/>
      <c r="L30" s="65"/>
      <c r="N30" s="53"/>
      <c r="O30" s="6"/>
      <c r="P30" s="6"/>
      <c r="Q30" s="6"/>
      <c r="R30" s="67"/>
      <c r="S30" s="18"/>
      <c r="T30" s="18"/>
      <c r="U30" s="18"/>
      <c r="V30" s="18"/>
      <c r="W30" s="18"/>
      <c r="X30" s="47"/>
    </row>
    <row r="31" spans="1:24" ht="14.5" x14ac:dyDescent="0.35">
      <c r="A31" s="64"/>
      <c r="B31" s="18"/>
      <c r="C31" s="71" t="s">
        <v>19</v>
      </c>
      <c r="D31" s="80"/>
      <c r="E31" s="81"/>
      <c r="F31" s="81"/>
      <c r="G31" s="81"/>
      <c r="H31" s="81"/>
      <c r="I31" s="81"/>
      <c r="J31" s="81"/>
      <c r="K31" s="81"/>
      <c r="L31" s="82"/>
      <c r="N31" s="53"/>
      <c r="O31" s="6"/>
      <c r="P31" s="6"/>
      <c r="Q31" s="6"/>
      <c r="R31" s="67"/>
      <c r="S31" s="18"/>
      <c r="T31" s="18"/>
      <c r="U31" s="18"/>
      <c r="V31" s="18"/>
      <c r="W31" s="18"/>
      <c r="X31" s="47"/>
    </row>
    <row r="32" spans="1:24" ht="12.75" customHeight="1" x14ac:dyDescent="0.3">
      <c r="A32" s="64"/>
      <c r="B32" s="18"/>
      <c r="C32" s="171" t="s">
        <v>195</v>
      </c>
      <c r="D32" s="172"/>
      <c r="E32" s="173"/>
      <c r="F32" s="173"/>
      <c r="G32" s="173"/>
      <c r="H32" s="173"/>
      <c r="I32" s="173"/>
      <c r="J32" s="173"/>
      <c r="K32" s="173"/>
      <c r="L32" s="174"/>
      <c r="N32" s="11"/>
      <c r="O32" s="6"/>
      <c r="P32" s="6"/>
      <c r="Q32" s="6"/>
      <c r="R32" s="67"/>
      <c r="S32" s="18"/>
      <c r="T32" s="18"/>
      <c r="U32" s="18"/>
      <c r="V32" s="18"/>
      <c r="W32" s="18"/>
      <c r="X32" s="47"/>
    </row>
    <row r="33" spans="1:24" ht="12.75" customHeight="1" x14ac:dyDescent="0.3">
      <c r="A33" s="64"/>
      <c r="B33" s="6"/>
      <c r="C33" s="175"/>
      <c r="D33" s="173"/>
      <c r="E33" s="173"/>
      <c r="F33" s="173"/>
      <c r="G33" s="173"/>
      <c r="H33" s="173"/>
      <c r="I33" s="173"/>
      <c r="J33" s="173"/>
      <c r="K33" s="173"/>
      <c r="L33" s="174"/>
      <c r="O33" s="67"/>
      <c r="P33" s="67"/>
      <c r="Q33" s="67"/>
      <c r="R33" s="67"/>
      <c r="S33" s="18"/>
      <c r="T33" s="18"/>
      <c r="U33" s="18"/>
      <c r="V33" s="18"/>
      <c r="W33" s="18"/>
      <c r="X33" s="47"/>
    </row>
    <row r="34" spans="1:24" s="30" customFormat="1" ht="12.75" customHeight="1" x14ac:dyDescent="0.3">
      <c r="A34" s="64"/>
      <c r="B34" s="18"/>
      <c r="C34" s="175"/>
      <c r="D34" s="173"/>
      <c r="E34" s="173"/>
      <c r="F34" s="173"/>
      <c r="G34" s="173"/>
      <c r="H34" s="173"/>
      <c r="I34" s="173"/>
      <c r="J34" s="173"/>
      <c r="K34" s="173"/>
      <c r="L34" s="174"/>
      <c r="M34" s="29"/>
      <c r="N34" s="85"/>
      <c r="O34" s="84"/>
      <c r="P34" s="84"/>
      <c r="Q34" s="84"/>
      <c r="R34" s="84"/>
      <c r="S34" s="25"/>
      <c r="T34" s="25"/>
      <c r="U34" s="25"/>
      <c r="V34" s="25"/>
      <c r="W34" s="25"/>
      <c r="X34" s="25"/>
    </row>
    <row r="35" spans="1:24" ht="12.75" customHeight="1" x14ac:dyDescent="0.3">
      <c r="A35" s="64"/>
      <c r="B35" s="6"/>
      <c r="C35" s="175"/>
      <c r="D35" s="173"/>
      <c r="E35" s="173"/>
      <c r="F35" s="173"/>
      <c r="G35" s="173"/>
      <c r="H35" s="173"/>
      <c r="I35" s="173"/>
      <c r="J35" s="173"/>
      <c r="K35" s="173"/>
      <c r="L35" s="174"/>
      <c r="N35" s="84"/>
      <c r="O35" s="67"/>
      <c r="P35" s="67"/>
      <c r="Q35" s="67"/>
      <c r="R35" s="67"/>
      <c r="S35" s="18"/>
      <c r="T35" s="18"/>
      <c r="U35" s="18"/>
      <c r="V35" s="18"/>
      <c r="W35" s="18"/>
      <c r="X35" s="47"/>
    </row>
    <row r="36" spans="1:24" ht="12.75" customHeight="1" x14ac:dyDescent="0.3">
      <c r="A36" s="64"/>
      <c r="B36" s="6"/>
      <c r="C36" s="175"/>
      <c r="D36" s="173"/>
      <c r="E36" s="173"/>
      <c r="F36" s="173"/>
      <c r="G36" s="173"/>
      <c r="H36" s="173"/>
      <c r="I36" s="173"/>
      <c r="J36" s="173"/>
      <c r="K36" s="173"/>
      <c r="L36" s="174"/>
      <c r="N36" s="49"/>
      <c r="O36" s="6"/>
      <c r="P36" s="6"/>
      <c r="Q36" s="6"/>
      <c r="R36" s="18"/>
      <c r="S36" s="18"/>
      <c r="T36" s="18"/>
      <c r="U36" s="18"/>
      <c r="V36" s="18"/>
      <c r="W36" s="18"/>
      <c r="X36" s="47"/>
    </row>
    <row r="37" spans="1:24" ht="12.75" customHeight="1" x14ac:dyDescent="0.3">
      <c r="A37" s="64"/>
      <c r="B37" s="6"/>
      <c r="C37" s="175"/>
      <c r="D37" s="173"/>
      <c r="E37" s="173"/>
      <c r="F37" s="173"/>
      <c r="G37" s="173"/>
      <c r="H37" s="173"/>
      <c r="I37" s="173"/>
      <c r="J37" s="173"/>
      <c r="K37" s="173"/>
      <c r="L37" s="174"/>
      <c r="N37" s="49"/>
      <c r="O37" s="18"/>
      <c r="P37" s="18"/>
      <c r="Q37" s="18"/>
      <c r="R37" s="18"/>
      <c r="S37" s="18"/>
      <c r="T37" s="18"/>
      <c r="U37" s="18"/>
      <c r="V37" s="18"/>
      <c r="W37" s="18"/>
      <c r="X37" s="47"/>
    </row>
    <row r="38" spans="1:24" ht="12.75" customHeight="1" x14ac:dyDescent="0.3">
      <c r="A38" s="64"/>
      <c r="B38" s="6"/>
      <c r="C38" s="175"/>
      <c r="D38" s="173"/>
      <c r="E38" s="173"/>
      <c r="F38" s="173"/>
      <c r="G38" s="173"/>
      <c r="H38" s="173"/>
      <c r="I38" s="173"/>
      <c r="J38" s="173"/>
      <c r="K38" s="173"/>
      <c r="L38" s="174"/>
      <c r="N38" s="50"/>
      <c r="O38" s="18"/>
      <c r="P38" s="18"/>
      <c r="Q38" s="18"/>
      <c r="R38" s="18"/>
      <c r="S38" s="18"/>
      <c r="T38" s="18"/>
      <c r="U38" s="18"/>
      <c r="V38" s="51"/>
      <c r="W38" s="51"/>
      <c r="X38" s="52"/>
    </row>
    <row r="39" spans="1:24" s="30" customFormat="1" ht="12.75" customHeight="1" x14ac:dyDescent="0.3">
      <c r="A39" s="64"/>
      <c r="B39" s="6"/>
      <c r="C39" s="175"/>
      <c r="D39" s="173"/>
      <c r="E39" s="173"/>
      <c r="F39" s="173"/>
      <c r="G39" s="173"/>
      <c r="H39" s="173"/>
      <c r="I39" s="173"/>
      <c r="J39" s="173"/>
      <c r="K39" s="173"/>
      <c r="L39" s="174"/>
      <c r="M39" s="29"/>
      <c r="N39" s="53"/>
      <c r="O39" s="25"/>
      <c r="P39" s="25"/>
      <c r="Q39" s="25"/>
      <c r="R39" s="18"/>
      <c r="S39" s="18"/>
      <c r="T39" s="18"/>
      <c r="U39" s="18"/>
      <c r="V39" s="51"/>
      <c r="W39" s="51"/>
      <c r="X39" s="52"/>
    </row>
    <row r="40" spans="1:24" ht="14.5" x14ac:dyDescent="0.35">
      <c r="A40" s="64"/>
      <c r="B40" s="6"/>
      <c r="C40" s="72" t="s">
        <v>101</v>
      </c>
      <c r="D40" s="73"/>
      <c r="E40" s="6"/>
      <c r="F40" s="6"/>
      <c r="G40" s="18"/>
      <c r="H40" s="18"/>
      <c r="I40" s="18"/>
      <c r="J40" s="6"/>
      <c r="K40" s="18"/>
      <c r="L40" s="74"/>
      <c r="N40" s="54"/>
      <c r="O40" s="25"/>
      <c r="P40" s="25"/>
      <c r="Q40" s="25"/>
      <c r="R40" s="25"/>
      <c r="S40" s="25"/>
      <c r="T40" s="25"/>
      <c r="U40" s="25"/>
    </row>
    <row r="41" spans="1:24" ht="14.5" x14ac:dyDescent="0.35">
      <c r="A41" s="64"/>
      <c r="B41" s="6"/>
      <c r="C41" s="106"/>
      <c r="D41" s="76"/>
      <c r="E41" s="77"/>
      <c r="F41" s="77"/>
      <c r="G41" s="78"/>
      <c r="H41" s="78"/>
      <c r="I41" s="78"/>
      <c r="J41" s="77"/>
      <c r="K41" s="78"/>
      <c r="L41" s="79"/>
      <c r="R41" s="30"/>
      <c r="S41" s="30"/>
      <c r="T41" s="30"/>
      <c r="U41" s="30"/>
      <c r="V41" s="30"/>
      <c r="W41" s="30"/>
      <c r="X41" s="30"/>
    </row>
    <row r="42" spans="1:24" x14ac:dyDescent="0.3">
      <c r="A42" s="64" t="s">
        <v>174</v>
      </c>
      <c r="B42" s="6"/>
      <c r="C42" s="6"/>
      <c r="D42" s="18"/>
      <c r="E42" s="6"/>
      <c r="F42" s="6"/>
      <c r="G42" s="18"/>
      <c r="H42" s="18"/>
      <c r="I42" s="18"/>
      <c r="J42" s="6"/>
      <c r="K42" s="18"/>
      <c r="L42" s="65"/>
    </row>
    <row r="43" spans="1:24" x14ac:dyDescent="0.3">
      <c r="A43" s="3" t="s">
        <v>0</v>
      </c>
      <c r="B43" s="4" t="s">
        <v>1</v>
      </c>
      <c r="C43" s="4" t="s">
        <v>2</v>
      </c>
      <c r="D43" s="4" t="s">
        <v>44</v>
      </c>
      <c r="E43" s="59" t="s">
        <v>45</v>
      </c>
      <c r="F43" s="4" t="s">
        <v>3</v>
      </c>
      <c r="G43" s="4" t="s">
        <v>4</v>
      </c>
      <c r="H43" s="4" t="s">
        <v>5</v>
      </c>
      <c r="I43" s="4" t="s">
        <v>100</v>
      </c>
      <c r="J43" s="4" t="s">
        <v>6</v>
      </c>
      <c r="K43" s="4" t="s">
        <v>7</v>
      </c>
      <c r="L43" s="5" t="s">
        <v>8</v>
      </c>
      <c r="M43" s="6"/>
      <c r="N43" s="158" t="s">
        <v>175</v>
      </c>
      <c r="O43" s="159"/>
      <c r="P43" s="160"/>
      <c r="Q43" s="161"/>
      <c r="T43" s="11"/>
      <c r="U43" s="11"/>
      <c r="V43" s="11"/>
      <c r="W43" s="12"/>
    </row>
    <row r="44" spans="1:24" x14ac:dyDescent="0.3">
      <c r="A44" s="90"/>
      <c r="B44" s="91"/>
      <c r="C44" s="92"/>
      <c r="D44" s="91"/>
      <c r="E44" s="92"/>
      <c r="F44" s="91"/>
      <c r="G44" s="91"/>
      <c r="H44" s="91"/>
      <c r="I44" s="91"/>
      <c r="J44" s="92"/>
      <c r="K44" s="91"/>
      <c r="L44" s="93"/>
      <c r="N44" s="17" t="s">
        <v>196</v>
      </c>
      <c r="O44" s="18"/>
      <c r="P44" s="6"/>
      <c r="Q44" s="23">
        <f>K48/60</f>
        <v>23.333333333333332</v>
      </c>
      <c r="T44" s="11"/>
      <c r="U44" s="11"/>
      <c r="V44" s="11"/>
      <c r="W44" s="12"/>
    </row>
    <row r="45" spans="1:24" x14ac:dyDescent="0.3">
      <c r="A45" s="90" t="s">
        <v>31</v>
      </c>
      <c r="B45" s="92" t="s">
        <v>12</v>
      </c>
      <c r="C45" s="92">
        <v>52</v>
      </c>
      <c r="D45" s="91">
        <v>0.5</v>
      </c>
      <c r="E45" s="92">
        <v>1.5</v>
      </c>
      <c r="F45" s="92">
        <v>2</v>
      </c>
      <c r="G45" s="91">
        <v>25</v>
      </c>
      <c r="H45" s="91">
        <f t="shared" ref="H45:H46" si="6">C45*4+D45*G45+E45*(F45)*G45</f>
        <v>295.5</v>
      </c>
      <c r="I45" s="91">
        <f>F45*G45*E45</f>
        <v>75</v>
      </c>
      <c r="J45" s="92">
        <v>20</v>
      </c>
      <c r="K45" s="91">
        <f t="shared" ref="K45:K46" si="7">G45*J45</f>
        <v>500</v>
      </c>
      <c r="L45" s="93">
        <f>K45*29000/60-H45*323.7</f>
        <v>146013.31666666665</v>
      </c>
      <c r="N45" s="17" t="s">
        <v>107</v>
      </c>
      <c r="O45" s="18"/>
      <c r="P45" s="6"/>
      <c r="Q45" s="23">
        <f>H48</f>
        <v>725.5</v>
      </c>
    </row>
    <row r="46" spans="1:24" x14ac:dyDescent="0.3">
      <c r="A46" s="90" t="s">
        <v>41</v>
      </c>
      <c r="B46" s="92" t="s">
        <v>11</v>
      </c>
      <c r="C46" s="92">
        <v>52</v>
      </c>
      <c r="D46" s="91">
        <v>0.5</v>
      </c>
      <c r="E46" s="92">
        <v>1.5</v>
      </c>
      <c r="F46" s="92">
        <v>2</v>
      </c>
      <c r="G46" s="91">
        <v>30</v>
      </c>
      <c r="H46" s="91">
        <f t="shared" si="6"/>
        <v>313</v>
      </c>
      <c r="I46" s="91">
        <f>F46*G46*E46</f>
        <v>90</v>
      </c>
      <c r="J46" s="92">
        <v>20</v>
      </c>
      <c r="K46" s="91">
        <f t="shared" si="7"/>
        <v>600</v>
      </c>
      <c r="L46" s="93">
        <f>K46*29000/60-H46*323.7</f>
        <v>188681.90000000002</v>
      </c>
      <c r="N46" s="24"/>
      <c r="O46" s="25"/>
      <c r="P46" s="25"/>
      <c r="Q46" s="22"/>
    </row>
    <row r="47" spans="1:24" x14ac:dyDescent="0.3">
      <c r="A47" s="90" t="s">
        <v>39</v>
      </c>
      <c r="B47" s="92" t="s">
        <v>11</v>
      </c>
      <c r="C47" s="92">
        <v>8</v>
      </c>
      <c r="D47" s="91">
        <v>1.5</v>
      </c>
      <c r="E47" s="92">
        <v>3.5</v>
      </c>
      <c r="F47" s="92">
        <v>2</v>
      </c>
      <c r="G47" s="91">
        <v>10</v>
      </c>
      <c r="H47" s="91">
        <f>C47*4+D47*G47+E47*(F47)*G47</f>
        <v>117</v>
      </c>
      <c r="I47" s="91">
        <f>F47*G47*E47</f>
        <v>70</v>
      </c>
      <c r="J47" s="92">
        <v>30</v>
      </c>
      <c r="K47" s="91">
        <f>G47*J47</f>
        <v>300</v>
      </c>
      <c r="L47" s="93">
        <f>K47*29000/60-H47*323.7</f>
        <v>107127.1</v>
      </c>
      <c r="N47" s="96" t="s">
        <v>48</v>
      </c>
      <c r="O47" s="25"/>
      <c r="P47" s="25"/>
      <c r="Q47" s="23">
        <f>H48/847</f>
        <v>0.85655253837072021</v>
      </c>
    </row>
    <row r="48" spans="1:24" x14ac:dyDescent="0.3">
      <c r="A48" s="33" t="s">
        <v>15</v>
      </c>
      <c r="B48" s="34"/>
      <c r="C48" s="35">
        <f>SUM(C44:C47)*4</f>
        <v>448</v>
      </c>
      <c r="D48" s="34"/>
      <c r="E48" s="35"/>
      <c r="F48" s="34"/>
      <c r="G48" s="34">
        <f t="shared" ref="G48:L48" si="8">SUM(G44:G47)</f>
        <v>65</v>
      </c>
      <c r="H48" s="34">
        <f t="shared" si="8"/>
        <v>725.5</v>
      </c>
      <c r="I48" s="34">
        <f t="shared" si="8"/>
        <v>235</v>
      </c>
      <c r="J48" s="34">
        <f t="shared" si="8"/>
        <v>70</v>
      </c>
      <c r="K48" s="34">
        <f t="shared" si="8"/>
        <v>1400</v>
      </c>
      <c r="L48" s="164">
        <f t="shared" si="8"/>
        <v>441822.31666666665</v>
      </c>
      <c r="N48" s="26"/>
      <c r="O48" s="27"/>
      <c r="P48" s="6"/>
      <c r="Q48" s="28"/>
    </row>
    <row r="49" spans="1:15" x14ac:dyDescent="0.3">
      <c r="A49" s="64"/>
      <c r="B49" s="6"/>
      <c r="C49" s="6"/>
      <c r="D49" s="18"/>
      <c r="E49" s="6"/>
      <c r="F49" s="6"/>
      <c r="G49" s="18"/>
      <c r="H49" s="18"/>
      <c r="I49" s="18"/>
      <c r="J49" s="6"/>
      <c r="K49" s="18"/>
      <c r="L49" s="65"/>
    </row>
    <row r="50" spans="1:15" x14ac:dyDescent="0.3">
      <c r="A50" s="66"/>
      <c r="B50" s="34"/>
      <c r="C50" s="35"/>
      <c r="D50" s="34"/>
      <c r="E50" s="35"/>
      <c r="F50" s="34"/>
      <c r="G50" s="34"/>
      <c r="H50" s="34"/>
      <c r="I50" s="34"/>
      <c r="J50" s="34"/>
      <c r="K50" s="34"/>
      <c r="L50" s="65"/>
    </row>
    <row r="51" spans="1:15" x14ac:dyDescent="0.3">
      <c r="A51" s="68"/>
      <c r="B51" s="69"/>
      <c r="C51" s="69"/>
      <c r="D51" s="69"/>
      <c r="E51" s="69"/>
      <c r="F51" s="69"/>
      <c r="G51" s="69"/>
      <c r="H51" s="69"/>
      <c r="I51" s="69"/>
      <c r="J51" s="69"/>
      <c r="K51" s="69"/>
      <c r="L51" s="70"/>
    </row>
    <row r="52" spans="1:15" x14ac:dyDescent="0.3">
      <c r="A52" s="64"/>
      <c r="B52" s="6"/>
      <c r="C52" s="6"/>
      <c r="D52" s="18"/>
      <c r="E52" s="18"/>
      <c r="F52" s="18"/>
      <c r="G52" s="18"/>
      <c r="H52" s="18"/>
      <c r="I52" s="18"/>
      <c r="J52" s="18"/>
      <c r="K52" s="18"/>
      <c r="L52" s="65"/>
    </row>
    <row r="54" spans="1:15" x14ac:dyDescent="0.3">
      <c r="E54" s="51" t="s">
        <v>22</v>
      </c>
    </row>
    <row r="58" spans="1:15" x14ac:dyDescent="0.3">
      <c r="O58" s="57"/>
    </row>
    <row r="61" spans="1:15" s="30" customFormat="1" x14ac:dyDescent="0.3">
      <c r="A61" s="56"/>
      <c r="B61" s="51"/>
      <c r="C61" s="51"/>
      <c r="D61" s="51"/>
      <c r="E61" s="51"/>
      <c r="F61" s="51"/>
      <c r="G61" s="51"/>
      <c r="H61" s="51"/>
      <c r="I61" s="51"/>
      <c r="J61" s="51"/>
      <c r="K61" s="51"/>
      <c r="L61" s="52"/>
      <c r="M61" s="29"/>
    </row>
    <row r="69" spans="13:13" x14ac:dyDescent="0.3">
      <c r="M69" s="2"/>
    </row>
    <row r="70" spans="13:13" x14ac:dyDescent="0.3">
      <c r="M70" s="2"/>
    </row>
    <row r="71" spans="13:13" x14ac:dyDescent="0.3">
      <c r="M71" s="2"/>
    </row>
    <row r="72" spans="13:13" x14ac:dyDescent="0.3">
      <c r="M72" s="2"/>
    </row>
    <row r="73" spans="13:13" x14ac:dyDescent="0.3">
      <c r="M73" s="2"/>
    </row>
    <row r="74" spans="13:13" x14ac:dyDescent="0.3">
      <c r="M74" s="2"/>
    </row>
    <row r="75" spans="13:13" x14ac:dyDescent="0.3">
      <c r="M75" s="2"/>
    </row>
    <row r="76" spans="13:13" x14ac:dyDescent="0.3">
      <c r="M76" s="2"/>
    </row>
    <row r="77" spans="13:13" x14ac:dyDescent="0.3">
      <c r="M77" s="2"/>
    </row>
    <row r="78" spans="13:13" x14ac:dyDescent="0.3">
      <c r="M78" s="2"/>
    </row>
    <row r="79" spans="13:13" x14ac:dyDescent="0.3">
      <c r="M79" s="2"/>
    </row>
    <row r="80" spans="13:13" x14ac:dyDescent="0.3">
      <c r="M80" s="2"/>
    </row>
    <row r="81" spans="1:13" x14ac:dyDescent="0.3">
      <c r="M81" s="2"/>
    </row>
    <row r="82" spans="1:13" x14ac:dyDescent="0.3">
      <c r="M82" s="2"/>
    </row>
    <row r="83" spans="1:13" x14ac:dyDescent="0.3">
      <c r="M83" s="2"/>
    </row>
    <row r="84" spans="1:13" x14ac:dyDescent="0.3">
      <c r="M84" s="2"/>
    </row>
    <row r="86" spans="1:13" s="30" customFormat="1" x14ac:dyDescent="0.3">
      <c r="A86" s="56"/>
      <c r="B86" s="51"/>
      <c r="C86" s="51"/>
      <c r="D86" s="51"/>
      <c r="E86" s="51"/>
      <c r="F86" s="51"/>
      <c r="G86" s="51"/>
      <c r="H86" s="51"/>
      <c r="I86" s="51"/>
      <c r="J86" s="51"/>
      <c r="K86" s="51"/>
      <c r="L86" s="52"/>
      <c r="M86" s="29"/>
    </row>
    <row r="97" spans="13:13" x14ac:dyDescent="0.3">
      <c r="M97" s="58"/>
    </row>
  </sheetData>
  <mergeCells count="2">
    <mergeCell ref="A2:L2"/>
    <mergeCell ref="C32:L39"/>
  </mergeCells>
  <conditionalFormatting sqref="L26:L28">
    <cfRule type="cellIs" dxfId="64" priority="45" operator="lessThan">
      <formula>0</formula>
    </cfRule>
  </conditionalFormatting>
  <conditionalFormatting sqref="L52 L31 L42">
    <cfRule type="cellIs" dxfId="63" priority="44" operator="lessThan">
      <formula>0</formula>
    </cfRule>
  </conditionalFormatting>
  <conditionalFormatting sqref="L30">
    <cfRule type="cellIs" dxfId="62" priority="43" operator="lessThan">
      <formula>0</formula>
    </cfRule>
  </conditionalFormatting>
  <conditionalFormatting sqref="L29">
    <cfRule type="cellIs" dxfId="61" priority="42" operator="lessThan">
      <formula>0</formula>
    </cfRule>
  </conditionalFormatting>
  <conditionalFormatting sqref="L5">
    <cfRule type="cellIs" dxfId="60" priority="39" operator="lessThan">
      <formula>0</formula>
    </cfRule>
  </conditionalFormatting>
  <conditionalFormatting sqref="L49">
    <cfRule type="cellIs" dxfId="59" priority="40" operator="lessThan">
      <formula>0</formula>
    </cfRule>
  </conditionalFormatting>
  <conditionalFormatting sqref="L6">
    <cfRule type="cellIs" dxfId="58" priority="35" operator="lessThan">
      <formula>0</formula>
    </cfRule>
  </conditionalFormatting>
  <conditionalFormatting sqref="L7">
    <cfRule type="cellIs" dxfId="57" priority="34" operator="lessThan">
      <formula>0</formula>
    </cfRule>
  </conditionalFormatting>
  <conditionalFormatting sqref="L8">
    <cfRule type="cellIs" dxfId="56" priority="33" operator="lessThan">
      <formula>0</formula>
    </cfRule>
  </conditionalFormatting>
  <conditionalFormatting sqref="L9">
    <cfRule type="cellIs" dxfId="55" priority="32" operator="lessThan">
      <formula>0</formula>
    </cfRule>
  </conditionalFormatting>
  <conditionalFormatting sqref="L10">
    <cfRule type="cellIs" dxfId="54" priority="31" operator="lessThan">
      <formula>0</formula>
    </cfRule>
  </conditionalFormatting>
  <conditionalFormatting sqref="L11">
    <cfRule type="cellIs" dxfId="53" priority="30" operator="lessThan">
      <formula>0</formula>
    </cfRule>
  </conditionalFormatting>
  <conditionalFormatting sqref="L12">
    <cfRule type="cellIs" dxfId="52" priority="29" operator="lessThan">
      <formula>0</formula>
    </cfRule>
  </conditionalFormatting>
  <conditionalFormatting sqref="L14">
    <cfRule type="cellIs" dxfId="51" priority="28" operator="lessThan">
      <formula>0</formula>
    </cfRule>
  </conditionalFormatting>
  <conditionalFormatting sqref="L16">
    <cfRule type="cellIs" dxfId="50" priority="17" operator="lessThan">
      <formula>0</formula>
    </cfRule>
  </conditionalFormatting>
  <conditionalFormatting sqref="L20">
    <cfRule type="cellIs" dxfId="49" priority="12" operator="lessThan">
      <formula>0</formula>
    </cfRule>
  </conditionalFormatting>
  <conditionalFormatting sqref="L17">
    <cfRule type="cellIs" dxfId="48" priority="11" operator="lessThan">
      <formula>0</formula>
    </cfRule>
  </conditionalFormatting>
  <conditionalFormatting sqref="L18">
    <cfRule type="cellIs" dxfId="47" priority="9" operator="lessThan">
      <formula>0</formula>
    </cfRule>
  </conditionalFormatting>
  <conditionalFormatting sqref="L19">
    <cfRule type="cellIs" dxfId="46" priority="8" operator="lessThan">
      <formula>0</formula>
    </cfRule>
  </conditionalFormatting>
  <conditionalFormatting sqref="L13">
    <cfRule type="cellIs" dxfId="45" priority="7" operator="lessThan">
      <formula>0</formula>
    </cfRule>
  </conditionalFormatting>
  <conditionalFormatting sqref="L40:L41">
    <cfRule type="cellIs" dxfId="44" priority="6" operator="lessThan">
      <formula>0</formula>
    </cfRule>
  </conditionalFormatting>
  <conditionalFormatting sqref="L44">
    <cfRule type="cellIs" dxfId="43" priority="5" operator="lessThan">
      <formula>0</formula>
    </cfRule>
  </conditionalFormatting>
  <conditionalFormatting sqref="L45">
    <cfRule type="cellIs" dxfId="42" priority="4" operator="lessThan">
      <formula>0</formula>
    </cfRule>
  </conditionalFormatting>
  <conditionalFormatting sqref="L46">
    <cfRule type="cellIs" dxfId="41" priority="3" operator="lessThan">
      <formula>0</formula>
    </cfRule>
  </conditionalFormatting>
  <conditionalFormatting sqref="L47">
    <cfRule type="cellIs" dxfId="40" priority="2" operator="lessThan">
      <formula>0</formula>
    </cfRule>
  </conditionalFormatting>
  <conditionalFormatting sqref="L15">
    <cfRule type="cellIs" dxfId="39" priority="1" operator="lessThan">
      <formula>0</formula>
    </cfRule>
  </conditionalFormatting>
  <pageMargins left="0.70866141732283472" right="0.70866141732283472" top="0.74803149606299213" bottom="0.74803149606299213" header="0.31496062992125984" footer="0.31496062992125984"/>
  <pageSetup paperSize="9" scale="71" fitToWidth="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4"/>
  <sheetViews>
    <sheetView topLeftCell="A16" workbookViewId="0">
      <selection activeCell="A10" sqref="A10"/>
    </sheetView>
  </sheetViews>
  <sheetFormatPr baseColWidth="10" defaultColWidth="9.1796875" defaultRowHeight="13" x14ac:dyDescent="0.3"/>
  <cols>
    <col min="1" max="1" width="41.81640625" style="56" customWidth="1"/>
    <col min="2" max="2" width="10.81640625" style="51" customWidth="1"/>
    <col min="3" max="3" width="10.7265625" style="51" customWidth="1"/>
    <col min="4" max="4" width="12.54296875" style="51" customWidth="1"/>
    <col min="5" max="5" width="11.26953125" style="51" customWidth="1"/>
    <col min="6" max="6" width="9.7265625" style="51" customWidth="1"/>
    <col min="7" max="7" width="10" style="51" customWidth="1"/>
    <col min="8" max="9" width="14.1796875" style="51" customWidth="1"/>
    <col min="10" max="10" width="5.7265625" style="51" customWidth="1"/>
    <col min="11" max="11" width="9.7265625" style="51" customWidth="1"/>
    <col min="12" max="12" width="12.54296875" style="52" bestFit="1" customWidth="1"/>
    <col min="13" max="13" width="13.7265625" style="1" customWidth="1"/>
    <col min="14" max="14" width="36.81640625" style="2" customWidth="1"/>
    <col min="15" max="15" width="10.1796875" style="2" customWidth="1"/>
    <col min="16" max="16" width="30" style="2" customWidth="1"/>
    <col min="17" max="17" width="9.81640625" style="2" bestFit="1" customWidth="1"/>
    <col min="18" max="18" width="27.26953125" style="2" bestFit="1" customWidth="1"/>
    <col min="19" max="23" width="9.1796875" style="2"/>
    <col min="24" max="24" width="50.54296875" style="2" customWidth="1"/>
    <col min="25" max="16384" width="9.1796875" style="2"/>
  </cols>
  <sheetData>
    <row r="1" spans="1:23" ht="13.5" thickBot="1" x14ac:dyDescent="0.35">
      <c r="A1" s="56" t="s">
        <v>170</v>
      </c>
    </row>
    <row r="2" spans="1:23" ht="13.5" thickBot="1" x14ac:dyDescent="0.35">
      <c r="A2" s="168" t="s">
        <v>92</v>
      </c>
      <c r="B2" s="169"/>
      <c r="C2" s="169"/>
      <c r="D2" s="169"/>
      <c r="E2" s="169"/>
      <c r="F2" s="169"/>
      <c r="G2" s="169"/>
      <c r="H2" s="169"/>
      <c r="I2" s="169"/>
      <c r="J2" s="169"/>
      <c r="K2" s="169"/>
      <c r="L2" s="170"/>
    </row>
    <row r="3" spans="1:23" x14ac:dyDescent="0.3">
      <c r="A3" s="3" t="s">
        <v>0</v>
      </c>
      <c r="B3" s="4" t="s">
        <v>1</v>
      </c>
      <c r="C3" s="4" t="s">
        <v>2</v>
      </c>
      <c r="D3" s="4" t="s">
        <v>44</v>
      </c>
      <c r="E3" s="59" t="s">
        <v>45</v>
      </c>
      <c r="F3" s="4" t="s">
        <v>3</v>
      </c>
      <c r="G3" s="4" t="s">
        <v>4</v>
      </c>
      <c r="H3" s="4" t="s">
        <v>5</v>
      </c>
      <c r="I3" s="4" t="s">
        <v>46</v>
      </c>
      <c r="J3" s="4" t="s">
        <v>6</v>
      </c>
      <c r="K3" s="4" t="s">
        <v>7</v>
      </c>
      <c r="L3" s="5" t="s">
        <v>8</v>
      </c>
      <c r="M3" s="6"/>
      <c r="N3" s="7" t="s">
        <v>9</v>
      </c>
      <c r="O3" s="8"/>
      <c r="P3" s="9"/>
      <c r="Q3" s="10"/>
      <c r="T3" s="11"/>
      <c r="U3" s="11"/>
      <c r="V3" s="11"/>
      <c r="W3" s="12"/>
    </row>
    <row r="4" spans="1:23" x14ac:dyDescent="0.3">
      <c r="A4" s="13"/>
      <c r="B4" s="14"/>
      <c r="C4" s="14"/>
      <c r="D4" s="14"/>
      <c r="E4" s="14"/>
      <c r="F4" s="14"/>
      <c r="G4" s="14"/>
      <c r="H4" s="14"/>
      <c r="I4" s="14"/>
      <c r="J4" s="14"/>
      <c r="K4" s="14"/>
      <c r="L4" s="15"/>
      <c r="M4" s="16"/>
      <c r="N4" s="17" t="s">
        <v>93</v>
      </c>
      <c r="O4" s="18">
        <f>K22</f>
        <v>3800</v>
      </c>
      <c r="P4" s="18" t="s">
        <v>10</v>
      </c>
      <c r="Q4" s="19">
        <f>O4/60</f>
        <v>63.333333333333336</v>
      </c>
      <c r="T4" s="11"/>
      <c r="U4" s="11"/>
      <c r="V4" s="11"/>
      <c r="W4" s="12"/>
    </row>
    <row r="5" spans="1:23" x14ac:dyDescent="0.3">
      <c r="A5" s="20" t="s">
        <v>83</v>
      </c>
      <c r="B5" s="18" t="s">
        <v>33</v>
      </c>
      <c r="C5" s="6">
        <v>125</v>
      </c>
      <c r="D5" s="18"/>
      <c r="E5" s="6">
        <v>2</v>
      </c>
      <c r="F5" s="18">
        <v>2</v>
      </c>
      <c r="G5" s="18">
        <v>80</v>
      </c>
      <c r="H5" s="18">
        <f>C5*4+D5*G5+E5*(F5)*G5</f>
        <v>820</v>
      </c>
      <c r="I5" s="18">
        <f t="shared" ref="I5:I21" si="0">F5*G5*E5</f>
        <v>320</v>
      </c>
      <c r="J5" s="6">
        <v>15</v>
      </c>
      <c r="K5" s="18">
        <f>G5*J5</f>
        <v>1200</v>
      </c>
      <c r="L5" s="21">
        <f>K5*44907/60-H5*323.7</f>
        <v>632706</v>
      </c>
      <c r="N5" s="17" t="s">
        <v>94</v>
      </c>
      <c r="O5" s="18"/>
      <c r="P5" s="18"/>
      <c r="Q5" s="19"/>
      <c r="T5" s="11"/>
      <c r="U5" s="11"/>
      <c r="V5" s="11"/>
      <c r="W5" s="12"/>
    </row>
    <row r="6" spans="1:23" x14ac:dyDescent="0.3">
      <c r="A6" s="20"/>
      <c r="B6" s="18"/>
      <c r="C6" s="6"/>
      <c r="D6" s="18"/>
      <c r="E6" s="6"/>
      <c r="F6" s="18"/>
      <c r="G6" s="18"/>
      <c r="H6" s="18">
        <f t="shared" ref="H6:H20" si="1">C6*4+D6*G6+E6*(F6)*G6</f>
        <v>0</v>
      </c>
      <c r="I6" s="18">
        <f t="shared" si="0"/>
        <v>0</v>
      </c>
      <c r="J6" s="6"/>
      <c r="K6" s="18">
        <f>G6*J6</f>
        <v>0</v>
      </c>
      <c r="L6" s="21">
        <f t="shared" ref="L6:L21" si="2">K6*42000/60-H6*323.7</f>
        <v>0</v>
      </c>
      <c r="N6" s="17" t="s">
        <v>95</v>
      </c>
      <c r="O6" s="18">
        <f>+K5</f>
        <v>1200</v>
      </c>
      <c r="P6" s="18"/>
      <c r="Q6" s="19">
        <f>+O6/60</f>
        <v>20</v>
      </c>
      <c r="T6" s="11"/>
      <c r="U6" s="11"/>
      <c r="V6" s="11"/>
      <c r="W6" s="12"/>
    </row>
    <row r="7" spans="1:23" x14ac:dyDescent="0.3">
      <c r="A7" s="20" t="s">
        <v>25</v>
      </c>
      <c r="B7" s="18" t="s">
        <v>33</v>
      </c>
      <c r="C7" s="6">
        <v>134</v>
      </c>
      <c r="D7" s="18"/>
      <c r="E7" s="6">
        <v>1.5</v>
      </c>
      <c r="F7" s="6">
        <v>2</v>
      </c>
      <c r="G7" s="18">
        <v>130</v>
      </c>
      <c r="H7" s="18">
        <f t="shared" si="1"/>
        <v>926</v>
      </c>
      <c r="I7" s="18">
        <f t="shared" si="0"/>
        <v>390</v>
      </c>
      <c r="J7" s="6">
        <v>10</v>
      </c>
      <c r="K7" s="18">
        <f>G7*J7</f>
        <v>1300</v>
      </c>
      <c r="L7" s="21">
        <f>K7*30863/60-H7*323.7</f>
        <v>368952.13333333336</v>
      </c>
      <c r="N7" s="17" t="s">
        <v>96</v>
      </c>
      <c r="O7" s="18">
        <f>+K7+K8</f>
        <v>2600</v>
      </c>
      <c r="P7" s="18"/>
      <c r="Q7" s="19">
        <f>+O7/60</f>
        <v>43.333333333333336</v>
      </c>
      <c r="T7" s="11"/>
      <c r="U7" s="11"/>
      <c r="V7" s="11"/>
      <c r="W7" s="12"/>
    </row>
    <row r="8" spans="1:23" x14ac:dyDescent="0.3">
      <c r="A8" s="20" t="s">
        <v>26</v>
      </c>
      <c r="B8" s="6" t="s">
        <v>11</v>
      </c>
      <c r="C8" s="6">
        <v>58</v>
      </c>
      <c r="D8" s="18"/>
      <c r="E8" s="6">
        <v>1</v>
      </c>
      <c r="F8" s="6">
        <v>2</v>
      </c>
      <c r="G8" s="18">
        <v>130</v>
      </c>
      <c r="H8" s="18">
        <f t="shared" si="1"/>
        <v>492</v>
      </c>
      <c r="I8" s="18">
        <f t="shared" si="0"/>
        <v>260</v>
      </c>
      <c r="J8" s="6">
        <v>10</v>
      </c>
      <c r="K8" s="18">
        <f>G8*J8</f>
        <v>1300</v>
      </c>
      <c r="L8" s="21">
        <f>K8*30863/60-H8*323.7</f>
        <v>509437.93333333335</v>
      </c>
      <c r="N8" s="17"/>
      <c r="O8" s="18"/>
      <c r="P8" s="18"/>
      <c r="Q8" s="19"/>
      <c r="T8" s="11"/>
      <c r="U8" s="11"/>
      <c r="V8" s="11"/>
      <c r="W8" s="12"/>
    </row>
    <row r="9" spans="1:23" x14ac:dyDescent="0.3">
      <c r="A9" s="20"/>
      <c r="B9" s="18"/>
      <c r="C9" s="6"/>
      <c r="D9" s="18"/>
      <c r="E9" s="6"/>
      <c r="F9" s="18"/>
      <c r="G9" s="18"/>
      <c r="H9" s="18">
        <f t="shared" si="1"/>
        <v>0</v>
      </c>
      <c r="I9" s="18">
        <f t="shared" si="0"/>
        <v>0</v>
      </c>
      <c r="J9" s="6"/>
      <c r="K9" s="18">
        <f>G9*J9</f>
        <v>0</v>
      </c>
      <c r="L9" s="21">
        <f t="shared" si="2"/>
        <v>0</v>
      </c>
      <c r="N9" s="17"/>
      <c r="O9" s="18"/>
      <c r="P9" s="18"/>
      <c r="Q9" s="19"/>
      <c r="T9" s="11"/>
      <c r="U9" s="11"/>
      <c r="V9" s="11"/>
      <c r="W9" s="12"/>
    </row>
    <row r="10" spans="1:23" x14ac:dyDescent="0.3">
      <c r="A10" s="20" t="s">
        <v>86</v>
      </c>
      <c r="B10" s="6" t="s">
        <v>34</v>
      </c>
      <c r="C10" s="6">
        <v>12</v>
      </c>
      <c r="D10" s="18">
        <v>0.5</v>
      </c>
      <c r="E10" s="6">
        <v>0.5</v>
      </c>
      <c r="F10" s="18">
        <v>1</v>
      </c>
      <c r="G10" s="18">
        <v>80</v>
      </c>
      <c r="H10" s="18">
        <f t="shared" si="1"/>
        <v>128</v>
      </c>
      <c r="I10" s="18">
        <f t="shared" si="0"/>
        <v>40</v>
      </c>
      <c r="J10" s="6"/>
      <c r="K10" s="18">
        <f t="shared" ref="K10:K19" si="3">G10*J10</f>
        <v>0</v>
      </c>
      <c r="L10" s="21">
        <f>K10*44907/60-H10*323.7</f>
        <v>-41433.599999999999</v>
      </c>
      <c r="N10" s="17"/>
      <c r="O10" s="18"/>
      <c r="P10" s="18"/>
      <c r="Q10" s="22"/>
      <c r="T10" s="11"/>
      <c r="U10" s="11"/>
      <c r="V10" s="11"/>
      <c r="W10" s="12"/>
    </row>
    <row r="11" spans="1:23" x14ac:dyDescent="0.3">
      <c r="A11" s="20"/>
      <c r="B11" s="18"/>
      <c r="C11" s="6"/>
      <c r="D11" s="18"/>
      <c r="E11" s="6"/>
      <c r="F11" s="6"/>
      <c r="G11" s="18"/>
      <c r="H11" s="18">
        <f t="shared" si="1"/>
        <v>0</v>
      </c>
      <c r="I11" s="18">
        <f t="shared" si="0"/>
        <v>0</v>
      </c>
      <c r="J11" s="6"/>
      <c r="K11" s="18">
        <f t="shared" si="3"/>
        <v>0</v>
      </c>
      <c r="L11" s="21">
        <f t="shared" si="2"/>
        <v>0</v>
      </c>
      <c r="N11" s="17" t="s">
        <v>47</v>
      </c>
      <c r="O11" s="18">
        <f>H22</f>
        <v>2366</v>
      </c>
      <c r="P11" s="6" t="s">
        <v>13</v>
      </c>
      <c r="Q11" s="23">
        <f>O11/O4</f>
        <v>0.62263157894736842</v>
      </c>
      <c r="T11" s="11"/>
      <c r="U11" s="11"/>
      <c r="V11" s="11"/>
      <c r="W11" s="12"/>
    </row>
    <row r="12" spans="1:23" x14ac:dyDescent="0.3">
      <c r="A12" s="20"/>
      <c r="B12" s="6"/>
      <c r="C12" s="6"/>
      <c r="D12" s="18"/>
      <c r="E12" s="6"/>
      <c r="F12" s="6"/>
      <c r="G12" s="18"/>
      <c r="H12" s="18">
        <f t="shared" si="1"/>
        <v>0</v>
      </c>
      <c r="I12" s="18">
        <f t="shared" si="0"/>
        <v>0</v>
      </c>
      <c r="J12" s="6"/>
      <c r="K12" s="18">
        <f t="shared" si="3"/>
        <v>0</v>
      </c>
      <c r="L12" s="21">
        <f t="shared" si="2"/>
        <v>0</v>
      </c>
      <c r="N12" s="17"/>
      <c r="O12" s="18"/>
      <c r="P12" s="6"/>
      <c r="Q12" s="23"/>
      <c r="T12" s="11"/>
      <c r="U12" s="11"/>
      <c r="V12" s="11"/>
      <c r="W12" s="12"/>
    </row>
    <row r="13" spans="1:23" x14ac:dyDescent="0.3">
      <c r="A13" s="20"/>
      <c r="B13" s="6"/>
      <c r="C13" s="6"/>
      <c r="D13" s="18"/>
      <c r="E13" s="6"/>
      <c r="F13" s="6"/>
      <c r="G13" s="18"/>
      <c r="H13" s="18">
        <f t="shared" si="1"/>
        <v>0</v>
      </c>
      <c r="I13" s="18">
        <f t="shared" si="0"/>
        <v>0</v>
      </c>
      <c r="J13" s="6"/>
      <c r="K13" s="18">
        <f t="shared" si="3"/>
        <v>0</v>
      </c>
      <c r="L13" s="21">
        <f t="shared" si="2"/>
        <v>0</v>
      </c>
      <c r="N13" s="17" t="s">
        <v>89</v>
      </c>
      <c r="O13" s="18">
        <f>+J22*2</f>
        <v>70</v>
      </c>
      <c r="P13" s="6"/>
      <c r="Q13" s="23"/>
      <c r="T13" s="11"/>
      <c r="U13" s="11"/>
      <c r="V13" s="11"/>
      <c r="W13" s="12"/>
    </row>
    <row r="14" spans="1:23" x14ac:dyDescent="0.3">
      <c r="A14" s="20"/>
      <c r="B14" s="6"/>
      <c r="C14" s="6"/>
      <c r="D14" s="18"/>
      <c r="E14" s="6"/>
      <c r="F14" s="6"/>
      <c r="G14" s="18"/>
      <c r="H14" s="18">
        <f t="shared" si="1"/>
        <v>0</v>
      </c>
      <c r="I14" s="18">
        <f t="shared" si="0"/>
        <v>0</v>
      </c>
      <c r="J14" s="6"/>
      <c r="K14" s="18">
        <f t="shared" si="3"/>
        <v>0</v>
      </c>
      <c r="L14" s="21">
        <f t="shared" si="2"/>
        <v>0</v>
      </c>
      <c r="N14" s="17"/>
      <c r="O14" s="18"/>
      <c r="P14" s="6"/>
      <c r="Q14" s="23"/>
      <c r="T14" s="11"/>
      <c r="U14" s="11"/>
      <c r="V14" s="11"/>
      <c r="W14" s="12"/>
    </row>
    <row r="15" spans="1:23" x14ac:dyDescent="0.3">
      <c r="A15" s="20"/>
      <c r="B15" s="6"/>
      <c r="C15" s="6"/>
      <c r="D15" s="18"/>
      <c r="E15" s="6"/>
      <c r="F15" s="6"/>
      <c r="G15" s="18"/>
      <c r="H15" s="18">
        <f t="shared" si="1"/>
        <v>0</v>
      </c>
      <c r="I15" s="18">
        <f t="shared" si="0"/>
        <v>0</v>
      </c>
      <c r="J15" s="6"/>
      <c r="K15" s="18">
        <f t="shared" si="3"/>
        <v>0</v>
      </c>
      <c r="L15" s="21">
        <f t="shared" si="2"/>
        <v>0</v>
      </c>
      <c r="N15" s="24" t="s">
        <v>97</v>
      </c>
      <c r="O15" s="25"/>
      <c r="P15" s="25"/>
      <c r="Q15" s="22"/>
      <c r="R15" s="25"/>
      <c r="S15" s="25"/>
      <c r="T15" s="11"/>
      <c r="U15" s="11"/>
      <c r="V15" s="11"/>
      <c r="W15" s="12"/>
    </row>
    <row r="16" spans="1:23" x14ac:dyDescent="0.3">
      <c r="A16" s="20"/>
      <c r="B16" s="6"/>
      <c r="C16" s="6"/>
      <c r="D16" s="18"/>
      <c r="E16" s="6"/>
      <c r="F16" s="6"/>
      <c r="G16" s="18"/>
      <c r="H16" s="18">
        <f t="shared" si="1"/>
        <v>0</v>
      </c>
      <c r="I16" s="18">
        <f t="shared" si="0"/>
        <v>0</v>
      </c>
      <c r="J16" s="6"/>
      <c r="K16" s="18">
        <f t="shared" si="3"/>
        <v>0</v>
      </c>
      <c r="L16" s="21">
        <f t="shared" si="2"/>
        <v>0</v>
      </c>
      <c r="N16" s="26" t="s">
        <v>180</v>
      </c>
      <c r="O16" s="25"/>
      <c r="P16" s="25"/>
      <c r="Q16" s="23">
        <f>(O11+O13)/847</f>
        <v>2.8760330578512399</v>
      </c>
    </row>
    <row r="17" spans="1:24" x14ac:dyDescent="0.3">
      <c r="A17" s="20"/>
      <c r="B17" s="6"/>
      <c r="C17" s="6"/>
      <c r="D17" s="18"/>
      <c r="E17" s="6"/>
      <c r="F17" s="6"/>
      <c r="G17" s="18"/>
      <c r="H17" s="18">
        <f t="shared" si="1"/>
        <v>0</v>
      </c>
      <c r="I17" s="18">
        <f t="shared" si="0"/>
        <v>0</v>
      </c>
      <c r="J17" s="6"/>
      <c r="K17" s="18">
        <f t="shared" si="3"/>
        <v>0</v>
      </c>
      <c r="L17" s="21">
        <f t="shared" si="2"/>
        <v>0</v>
      </c>
      <c r="N17" s="26"/>
      <c r="O17" s="25"/>
      <c r="P17" s="25"/>
      <c r="Q17" s="19"/>
    </row>
    <row r="18" spans="1:24" x14ac:dyDescent="0.3">
      <c r="A18" s="20"/>
      <c r="B18" s="6"/>
      <c r="C18" s="6"/>
      <c r="D18" s="18"/>
      <c r="E18" s="6"/>
      <c r="F18" s="6"/>
      <c r="G18" s="18"/>
      <c r="H18" s="18">
        <f t="shared" si="1"/>
        <v>0</v>
      </c>
      <c r="I18" s="18">
        <f t="shared" si="0"/>
        <v>0</v>
      </c>
      <c r="J18" s="6"/>
      <c r="K18" s="18">
        <f t="shared" si="3"/>
        <v>0</v>
      </c>
      <c r="L18" s="21">
        <f t="shared" si="2"/>
        <v>0</v>
      </c>
      <c r="N18" s="26"/>
      <c r="O18" s="27"/>
      <c r="P18" s="6" t="s">
        <v>82</v>
      </c>
      <c r="Q18" s="28">
        <f>Q6*44907+Q7*30863</f>
        <v>2235536.666666667</v>
      </c>
    </row>
    <row r="19" spans="1:24" s="30" customFormat="1" x14ac:dyDescent="0.3">
      <c r="A19" s="20"/>
      <c r="B19" s="6"/>
      <c r="C19" s="6"/>
      <c r="D19" s="18"/>
      <c r="E19" s="6"/>
      <c r="F19" s="6"/>
      <c r="G19" s="18"/>
      <c r="H19" s="18">
        <f t="shared" si="1"/>
        <v>0</v>
      </c>
      <c r="I19" s="18">
        <f t="shared" si="0"/>
        <v>0</v>
      </c>
      <c r="J19" s="6"/>
      <c r="K19" s="18">
        <f t="shared" si="3"/>
        <v>0</v>
      </c>
      <c r="L19" s="21">
        <f t="shared" si="2"/>
        <v>0</v>
      </c>
      <c r="M19" s="29"/>
      <c r="N19" s="26"/>
      <c r="O19" s="27"/>
      <c r="P19" s="6"/>
      <c r="Q19" s="28"/>
    </row>
    <row r="20" spans="1:24" x14ac:dyDescent="0.3">
      <c r="A20" s="20"/>
      <c r="B20" s="6"/>
      <c r="C20" s="6"/>
      <c r="D20" s="18"/>
      <c r="E20" s="6"/>
      <c r="F20" s="6"/>
      <c r="G20" s="18"/>
      <c r="H20" s="18">
        <f t="shared" si="1"/>
        <v>0</v>
      </c>
      <c r="I20" s="18">
        <f t="shared" si="0"/>
        <v>0</v>
      </c>
      <c r="J20" s="6"/>
      <c r="K20" s="18">
        <f>G20*J20</f>
        <v>0</v>
      </c>
      <c r="L20" s="21">
        <f t="shared" si="2"/>
        <v>0</v>
      </c>
      <c r="N20" s="26"/>
      <c r="O20" s="27"/>
      <c r="P20" s="6"/>
      <c r="Q20" s="28"/>
    </row>
    <row r="21" spans="1:24" x14ac:dyDescent="0.3">
      <c r="A21" s="20"/>
      <c r="B21" s="6" t="s">
        <v>11</v>
      </c>
      <c r="C21" s="6"/>
      <c r="D21" s="18"/>
      <c r="E21" s="6"/>
      <c r="F21" s="6"/>
      <c r="G21" s="18"/>
      <c r="H21" s="18">
        <f>C21*4+D21*G21+E21*F21*G21</f>
        <v>0</v>
      </c>
      <c r="I21" s="18">
        <f t="shared" si="0"/>
        <v>0</v>
      </c>
      <c r="J21" s="6"/>
      <c r="K21" s="18">
        <f>G21*J21</f>
        <v>0</v>
      </c>
      <c r="L21" s="21">
        <f t="shared" si="2"/>
        <v>0</v>
      </c>
      <c r="N21" s="26"/>
      <c r="O21" s="27"/>
      <c r="P21" s="6"/>
      <c r="Q21" s="28"/>
    </row>
    <row r="22" spans="1:24" ht="13.5" thickBot="1" x14ac:dyDescent="0.35">
      <c r="A22" s="33" t="s">
        <v>15</v>
      </c>
      <c r="B22" s="34"/>
      <c r="C22" s="35">
        <f>SUM(C5:C20)*4</f>
        <v>1316</v>
      </c>
      <c r="D22" s="34"/>
      <c r="E22" s="35"/>
      <c r="F22" s="34"/>
      <c r="G22" s="34">
        <f t="shared" ref="G22:K22" si="4">SUM(G5:G20)</f>
        <v>420</v>
      </c>
      <c r="H22" s="34">
        <f t="shared" si="4"/>
        <v>2366</v>
      </c>
      <c r="I22" s="34">
        <f t="shared" si="4"/>
        <v>1010</v>
      </c>
      <c r="J22" s="34">
        <f t="shared" si="4"/>
        <v>35</v>
      </c>
      <c r="K22" s="34">
        <f t="shared" si="4"/>
        <v>3800</v>
      </c>
      <c r="L22" s="87">
        <f>SUM(L5:L21)</f>
        <v>1469662.4666666666</v>
      </c>
      <c r="N22" s="36"/>
      <c r="O22" s="37"/>
      <c r="P22" s="38"/>
      <c r="Q22" s="39"/>
    </row>
    <row r="23" spans="1:24" ht="13.5" thickBot="1" x14ac:dyDescent="0.35">
      <c r="A23" s="40"/>
      <c r="B23" s="41"/>
      <c r="C23" s="41"/>
      <c r="D23" s="42"/>
      <c r="E23" s="42"/>
      <c r="F23" s="42"/>
      <c r="G23" s="42"/>
      <c r="H23" s="18"/>
      <c r="I23" s="18"/>
      <c r="J23" s="42"/>
      <c r="K23" s="42"/>
      <c r="L23" s="43"/>
      <c r="N23" s="30"/>
    </row>
    <row r="24" spans="1:24" x14ac:dyDescent="0.3">
      <c r="A24" s="20"/>
      <c r="B24" s="6"/>
      <c r="C24" s="6"/>
      <c r="D24" s="18"/>
      <c r="E24" s="18"/>
      <c r="F24" s="18"/>
      <c r="G24" s="18"/>
      <c r="H24" s="18"/>
      <c r="I24" s="18"/>
      <c r="J24" s="18"/>
      <c r="K24" s="18"/>
      <c r="L24" s="21"/>
      <c r="N24" s="30"/>
    </row>
    <row r="25" spans="1:24" x14ac:dyDescent="0.3">
      <c r="A25" s="64"/>
      <c r="B25" s="6"/>
      <c r="C25" s="6"/>
      <c r="D25" s="18"/>
      <c r="E25" s="18"/>
      <c r="F25" s="18"/>
      <c r="G25" s="18"/>
      <c r="H25" s="18"/>
      <c r="I25" s="18"/>
      <c r="J25" s="18"/>
      <c r="K25" s="18"/>
      <c r="L25" s="65"/>
      <c r="N25" s="30"/>
    </row>
    <row r="26" spans="1:24" x14ac:dyDescent="0.3">
      <c r="A26" s="64"/>
      <c r="B26" s="18"/>
      <c r="C26" s="6"/>
      <c r="D26" s="18"/>
      <c r="E26" s="6"/>
      <c r="F26" s="18"/>
      <c r="G26" s="18"/>
      <c r="H26" s="18"/>
      <c r="I26" s="18"/>
      <c r="J26" s="6"/>
      <c r="K26" s="18"/>
      <c r="L26" s="65"/>
      <c r="N26" s="83"/>
      <c r="O26" s="67"/>
      <c r="P26" s="67"/>
      <c r="Q26" s="67"/>
      <c r="R26" s="67"/>
      <c r="S26" s="18"/>
      <c r="T26" s="18"/>
      <c r="U26" s="18"/>
      <c r="V26" s="18"/>
      <c r="W26" s="18"/>
      <c r="X26" s="47"/>
    </row>
    <row r="27" spans="1:24" x14ac:dyDescent="0.3">
      <c r="A27" s="64"/>
      <c r="B27" s="18"/>
      <c r="C27" s="6"/>
      <c r="D27" s="18"/>
      <c r="E27" s="6"/>
      <c r="F27" s="18"/>
      <c r="G27" s="18"/>
      <c r="H27" s="18"/>
      <c r="I27" s="18"/>
      <c r="J27" s="6"/>
      <c r="K27" s="18"/>
      <c r="L27" s="65"/>
      <c r="N27" s="83"/>
      <c r="O27" s="67"/>
      <c r="P27" s="67"/>
      <c r="Q27" s="67"/>
      <c r="R27" s="67"/>
      <c r="S27" s="18"/>
      <c r="T27" s="18"/>
      <c r="U27" s="18"/>
      <c r="V27" s="18"/>
      <c r="W27" s="18"/>
      <c r="X27" s="47"/>
    </row>
    <row r="28" spans="1:24" ht="14.5" x14ac:dyDescent="0.35">
      <c r="A28" s="64"/>
      <c r="B28" s="18"/>
      <c r="C28" s="71" t="s">
        <v>19</v>
      </c>
      <c r="D28" s="80"/>
      <c r="E28" s="81"/>
      <c r="F28" s="81"/>
      <c r="G28" s="81"/>
      <c r="H28" s="81"/>
      <c r="I28" s="81"/>
      <c r="J28" s="81"/>
      <c r="K28" s="81"/>
      <c r="L28" s="82"/>
      <c r="N28" s="83"/>
      <c r="O28" s="67"/>
      <c r="P28" s="67"/>
      <c r="Q28" s="67"/>
      <c r="R28" s="67"/>
      <c r="S28" s="18"/>
      <c r="T28" s="18"/>
      <c r="U28" s="18"/>
      <c r="V28" s="18"/>
      <c r="W28" s="18"/>
      <c r="X28" s="47"/>
    </row>
    <row r="29" spans="1:24" x14ac:dyDescent="0.3">
      <c r="A29" s="64"/>
      <c r="B29" s="18"/>
      <c r="C29" s="171" t="s">
        <v>91</v>
      </c>
      <c r="D29" s="172"/>
      <c r="E29" s="173"/>
      <c r="F29" s="173"/>
      <c r="G29" s="173"/>
      <c r="H29" s="173"/>
      <c r="I29" s="173"/>
      <c r="J29" s="173"/>
      <c r="K29" s="173"/>
      <c r="L29" s="174"/>
      <c r="N29" s="84"/>
      <c r="O29" s="67"/>
      <c r="P29" s="67"/>
      <c r="Q29" s="67"/>
      <c r="R29" s="67"/>
      <c r="S29" s="18"/>
      <c r="T29" s="18"/>
      <c r="U29" s="18"/>
      <c r="V29" s="18"/>
      <c r="W29" s="18"/>
      <c r="X29" s="47"/>
    </row>
    <row r="30" spans="1:24" x14ac:dyDescent="0.3">
      <c r="A30" s="64"/>
      <c r="B30" s="6"/>
      <c r="C30" s="175"/>
      <c r="D30" s="173"/>
      <c r="E30" s="173"/>
      <c r="F30" s="173"/>
      <c r="G30" s="173"/>
      <c r="H30" s="173"/>
      <c r="I30" s="173"/>
      <c r="J30" s="173"/>
      <c r="K30" s="173"/>
      <c r="L30" s="174"/>
      <c r="N30" s="84"/>
      <c r="O30" s="67"/>
      <c r="P30" s="67"/>
      <c r="Q30" s="67"/>
      <c r="R30" s="67"/>
      <c r="S30" s="18"/>
      <c r="T30" s="18"/>
      <c r="U30" s="18"/>
      <c r="V30" s="18"/>
      <c r="W30" s="18"/>
      <c r="X30" s="47"/>
    </row>
    <row r="31" spans="1:24" s="30" customFormat="1" x14ac:dyDescent="0.3">
      <c r="A31" s="64"/>
      <c r="B31" s="18"/>
      <c r="C31" s="175"/>
      <c r="D31" s="173"/>
      <c r="E31" s="173"/>
      <c r="F31" s="173"/>
      <c r="G31" s="173"/>
      <c r="H31" s="173"/>
      <c r="I31" s="173"/>
      <c r="J31" s="173"/>
      <c r="K31" s="173"/>
      <c r="L31" s="174"/>
      <c r="M31" s="29"/>
      <c r="N31" s="85"/>
      <c r="O31" s="84"/>
      <c r="P31" s="84"/>
      <c r="Q31" s="84"/>
      <c r="R31" s="84"/>
      <c r="S31" s="25"/>
      <c r="T31" s="25"/>
      <c r="U31" s="25"/>
      <c r="V31" s="25"/>
      <c r="W31" s="25"/>
      <c r="X31" s="25"/>
    </row>
    <row r="32" spans="1:24" x14ac:dyDescent="0.3">
      <c r="A32" s="64"/>
      <c r="B32" s="6"/>
      <c r="C32" s="175"/>
      <c r="D32" s="173"/>
      <c r="E32" s="173"/>
      <c r="F32" s="173"/>
      <c r="G32" s="173"/>
      <c r="H32" s="173"/>
      <c r="I32" s="173"/>
      <c r="J32" s="173"/>
      <c r="K32" s="173"/>
      <c r="L32" s="174"/>
      <c r="N32" s="84"/>
      <c r="O32" s="67"/>
      <c r="P32" s="67"/>
      <c r="Q32" s="67"/>
      <c r="R32" s="67"/>
      <c r="S32" s="18"/>
      <c r="T32" s="18"/>
      <c r="U32" s="18"/>
      <c r="V32" s="18"/>
      <c r="W32" s="18"/>
      <c r="X32" s="47"/>
    </row>
    <row r="33" spans="1:24" x14ac:dyDescent="0.3">
      <c r="A33" s="64"/>
      <c r="B33" s="6"/>
      <c r="C33" s="175"/>
      <c r="D33" s="173"/>
      <c r="E33" s="173"/>
      <c r="F33" s="173"/>
      <c r="G33" s="173"/>
      <c r="H33" s="173"/>
      <c r="I33" s="173"/>
      <c r="J33" s="173"/>
      <c r="K33" s="173"/>
      <c r="L33" s="174"/>
      <c r="N33" s="49"/>
      <c r="O33" s="6"/>
      <c r="P33" s="6"/>
      <c r="Q33" s="6"/>
      <c r="R33" s="18"/>
      <c r="S33" s="18"/>
      <c r="T33" s="18"/>
      <c r="U33" s="18"/>
      <c r="V33" s="18"/>
      <c r="W33" s="18"/>
      <c r="X33" s="47"/>
    </row>
    <row r="34" spans="1:24" x14ac:dyDescent="0.3">
      <c r="A34" s="64"/>
      <c r="B34" s="6"/>
      <c r="C34" s="175"/>
      <c r="D34" s="173"/>
      <c r="E34" s="173"/>
      <c r="F34" s="173"/>
      <c r="G34" s="173"/>
      <c r="H34" s="173"/>
      <c r="I34" s="173"/>
      <c r="J34" s="173"/>
      <c r="K34" s="173"/>
      <c r="L34" s="174"/>
      <c r="N34" s="50"/>
      <c r="O34" s="18"/>
      <c r="P34" s="18"/>
      <c r="Q34" s="18"/>
      <c r="R34" s="18"/>
      <c r="S34" s="18"/>
      <c r="T34" s="18"/>
      <c r="U34" s="18"/>
      <c r="V34" s="18"/>
      <c r="W34" s="18"/>
      <c r="X34" s="47"/>
    </row>
    <row r="35" spans="1:24" x14ac:dyDescent="0.3">
      <c r="A35" s="64"/>
      <c r="B35" s="6"/>
      <c r="C35" s="175"/>
      <c r="D35" s="173"/>
      <c r="E35" s="173"/>
      <c r="F35" s="173"/>
      <c r="G35" s="173"/>
      <c r="H35" s="173"/>
      <c r="I35" s="173"/>
      <c r="J35" s="173"/>
      <c r="K35" s="173"/>
      <c r="L35" s="174"/>
      <c r="N35" s="50"/>
      <c r="O35" s="65"/>
      <c r="P35" s="18"/>
      <c r="Q35" s="18"/>
      <c r="R35" s="18"/>
      <c r="S35" s="18"/>
      <c r="T35" s="18"/>
      <c r="U35" s="18"/>
      <c r="V35" s="51"/>
      <c r="W35" s="51"/>
      <c r="X35" s="52"/>
    </row>
    <row r="36" spans="1:24" s="30" customFormat="1" x14ac:dyDescent="0.3">
      <c r="A36" s="64"/>
      <c r="B36" s="6"/>
      <c r="C36" s="175"/>
      <c r="D36" s="173"/>
      <c r="E36" s="173"/>
      <c r="F36" s="173"/>
      <c r="G36" s="173"/>
      <c r="H36" s="173"/>
      <c r="I36" s="173"/>
      <c r="J36" s="173"/>
      <c r="K36" s="173"/>
      <c r="L36" s="174"/>
      <c r="M36" s="29"/>
      <c r="N36" s="53"/>
      <c r="O36" s="65"/>
      <c r="P36" s="25"/>
      <c r="Q36" s="25"/>
      <c r="R36" s="18"/>
      <c r="S36" s="18"/>
      <c r="T36" s="18"/>
      <c r="U36" s="18"/>
      <c r="V36" s="51"/>
      <c r="W36" s="51"/>
      <c r="X36" s="52"/>
    </row>
    <row r="37" spans="1:24" ht="14.5" x14ac:dyDescent="0.35">
      <c r="A37" s="64"/>
      <c r="B37" s="6"/>
      <c r="C37" s="72"/>
      <c r="D37" s="73"/>
      <c r="E37" s="6"/>
      <c r="F37" s="6"/>
      <c r="G37" s="18"/>
      <c r="H37" s="18"/>
      <c r="I37" s="18"/>
      <c r="J37" s="6"/>
      <c r="K37" s="18"/>
      <c r="L37" s="74"/>
      <c r="N37" s="54"/>
      <c r="O37" s="65"/>
      <c r="P37" s="25"/>
      <c r="Q37" s="25"/>
      <c r="R37" s="25"/>
      <c r="S37" s="25"/>
      <c r="T37" s="25"/>
      <c r="U37" s="25"/>
    </row>
    <row r="38" spans="1:24" ht="14.5" x14ac:dyDescent="0.35">
      <c r="A38" s="64"/>
      <c r="B38" s="6"/>
      <c r="C38" s="86"/>
      <c r="D38" s="73"/>
      <c r="E38" s="6"/>
      <c r="F38" s="6"/>
      <c r="G38" s="18"/>
      <c r="H38" s="18"/>
      <c r="I38" s="18"/>
      <c r="J38" s="6"/>
      <c r="K38" s="18"/>
      <c r="L38" s="65"/>
      <c r="N38" s="25"/>
      <c r="O38" s="65"/>
      <c r="P38" s="25"/>
      <c r="R38" s="30"/>
      <c r="S38" s="30"/>
      <c r="T38" s="30"/>
      <c r="U38" s="30"/>
      <c r="V38" s="30"/>
      <c r="W38" s="30"/>
      <c r="X38" s="30"/>
    </row>
    <row r="39" spans="1:24" x14ac:dyDescent="0.3">
      <c r="A39" s="64"/>
      <c r="B39" s="6"/>
      <c r="C39" s="6"/>
      <c r="D39" s="18"/>
      <c r="E39" s="6"/>
      <c r="F39" s="6"/>
      <c r="G39" s="18"/>
      <c r="H39" s="18"/>
      <c r="I39" s="18"/>
      <c r="J39" s="6"/>
      <c r="K39" s="18"/>
      <c r="L39" s="65"/>
      <c r="N39" s="25"/>
      <c r="O39" s="65"/>
      <c r="P39" s="25"/>
    </row>
    <row r="40" spans="1:24" x14ac:dyDescent="0.3">
      <c r="A40" s="64"/>
      <c r="B40" s="6"/>
      <c r="C40" s="6"/>
      <c r="D40" s="18"/>
      <c r="E40" s="6"/>
      <c r="F40" s="6"/>
      <c r="G40" s="18"/>
      <c r="H40" s="18"/>
      <c r="I40" s="18"/>
      <c r="J40" s="6"/>
      <c r="K40" s="18"/>
      <c r="L40" s="65"/>
      <c r="N40" s="89"/>
      <c r="O40" s="65"/>
      <c r="P40" s="89"/>
      <c r="Q40" s="55"/>
      <c r="R40" s="30"/>
      <c r="S40" s="30"/>
      <c r="T40" s="30"/>
      <c r="U40" s="30"/>
      <c r="V40" s="30"/>
      <c r="W40" s="30"/>
      <c r="X40" s="30"/>
    </row>
    <row r="41" spans="1:24" x14ac:dyDescent="0.3">
      <c r="A41" s="64"/>
      <c r="B41" s="6"/>
      <c r="C41" s="6"/>
      <c r="D41" s="18"/>
      <c r="E41" s="6"/>
      <c r="F41" s="6"/>
      <c r="G41" s="18"/>
      <c r="H41" s="18"/>
      <c r="I41" s="18"/>
      <c r="J41" s="6"/>
      <c r="K41" s="18"/>
      <c r="L41" s="65"/>
      <c r="N41" s="25"/>
      <c r="O41" s="65"/>
      <c r="P41" s="25"/>
    </row>
    <row r="42" spans="1:24" x14ac:dyDescent="0.3">
      <c r="A42" s="64"/>
      <c r="B42" s="6"/>
      <c r="C42" s="6"/>
      <c r="D42" s="18"/>
      <c r="E42" s="6"/>
      <c r="F42" s="6"/>
      <c r="G42" s="18"/>
      <c r="H42" s="18"/>
      <c r="I42" s="18"/>
      <c r="J42" s="6"/>
      <c r="K42" s="18"/>
      <c r="L42" s="65"/>
      <c r="N42" s="25"/>
      <c r="O42" s="65"/>
      <c r="P42" s="25"/>
    </row>
    <row r="43" spans="1:24" x14ac:dyDescent="0.3">
      <c r="A43" s="64"/>
      <c r="B43" s="6"/>
      <c r="C43" s="6"/>
      <c r="D43" s="18"/>
      <c r="E43" s="6"/>
      <c r="F43" s="6"/>
      <c r="G43" s="18"/>
      <c r="H43" s="18"/>
      <c r="I43" s="18"/>
      <c r="J43" s="6"/>
      <c r="K43" s="18"/>
      <c r="L43" s="65"/>
      <c r="N43" s="6"/>
      <c r="O43" s="65"/>
      <c r="P43" s="25"/>
    </row>
    <row r="44" spans="1:24" x14ac:dyDescent="0.3">
      <c r="A44" s="64"/>
      <c r="B44" s="6"/>
      <c r="C44" s="6"/>
      <c r="D44" s="18"/>
      <c r="E44" s="6"/>
      <c r="F44" s="6"/>
      <c r="G44" s="18"/>
      <c r="H44" s="18"/>
      <c r="I44" s="18"/>
      <c r="J44" s="6"/>
      <c r="K44" s="18"/>
      <c r="L44" s="65"/>
      <c r="N44" s="25"/>
      <c r="O44" s="65"/>
      <c r="P44" s="25"/>
    </row>
    <row r="45" spans="1:24" x14ac:dyDescent="0.3">
      <c r="A45" s="64"/>
      <c r="B45" s="6"/>
      <c r="C45" s="6"/>
      <c r="D45" s="18"/>
      <c r="E45" s="6"/>
      <c r="F45" s="6"/>
      <c r="G45" s="18"/>
      <c r="H45" s="18"/>
      <c r="I45" s="18"/>
      <c r="J45" s="6"/>
      <c r="K45" s="18"/>
      <c r="L45" s="65"/>
      <c r="N45" s="25"/>
      <c r="O45" s="65"/>
      <c r="P45" s="25"/>
    </row>
    <row r="46" spans="1:24" x14ac:dyDescent="0.3">
      <c r="A46" s="64"/>
      <c r="B46" s="6"/>
      <c r="C46" s="6"/>
      <c r="D46" s="18"/>
      <c r="E46" s="6"/>
      <c r="F46" s="6"/>
      <c r="G46" s="18"/>
      <c r="H46" s="18"/>
      <c r="I46" s="18"/>
      <c r="J46" s="6"/>
      <c r="K46" s="18"/>
      <c r="L46" s="65"/>
      <c r="N46" s="25"/>
      <c r="O46" s="65"/>
      <c r="P46" s="25"/>
    </row>
    <row r="47" spans="1:24" x14ac:dyDescent="0.3">
      <c r="A47" s="66"/>
      <c r="B47" s="34"/>
      <c r="C47" s="35"/>
      <c r="D47" s="34"/>
      <c r="E47" s="35"/>
      <c r="F47" s="34"/>
      <c r="G47" s="34"/>
      <c r="H47" s="34"/>
      <c r="I47" s="34"/>
      <c r="J47" s="34"/>
      <c r="K47" s="34"/>
      <c r="L47" s="65"/>
      <c r="N47" s="25"/>
      <c r="O47" s="65"/>
      <c r="P47" s="25"/>
    </row>
    <row r="48" spans="1:24" x14ac:dyDescent="0.3">
      <c r="A48" s="68"/>
      <c r="B48" s="69"/>
      <c r="C48" s="69"/>
      <c r="D48" s="69"/>
      <c r="E48" s="69"/>
      <c r="F48" s="69"/>
      <c r="G48" s="69"/>
      <c r="H48" s="69"/>
      <c r="I48" s="69"/>
      <c r="J48" s="69"/>
      <c r="K48" s="69"/>
      <c r="L48" s="70"/>
      <c r="N48" s="25"/>
      <c r="O48" s="65"/>
      <c r="P48" s="25"/>
    </row>
    <row r="49" spans="1:16" x14ac:dyDescent="0.3">
      <c r="A49" s="64"/>
      <c r="B49" s="6"/>
      <c r="C49" s="6"/>
      <c r="D49" s="18"/>
      <c r="E49" s="18"/>
      <c r="F49" s="18"/>
      <c r="G49" s="18"/>
      <c r="H49" s="18"/>
      <c r="I49" s="18"/>
      <c r="J49" s="18"/>
      <c r="K49" s="18"/>
      <c r="L49" s="65"/>
      <c r="N49" s="25"/>
      <c r="O49" s="65"/>
      <c r="P49" s="25"/>
    </row>
    <row r="50" spans="1:16" x14ac:dyDescent="0.3">
      <c r="N50" s="25"/>
      <c r="O50" s="65"/>
      <c r="P50" s="25"/>
    </row>
    <row r="51" spans="1:16" x14ac:dyDescent="0.3">
      <c r="E51" s="51" t="s">
        <v>22</v>
      </c>
      <c r="N51" s="25"/>
      <c r="O51" s="65"/>
      <c r="P51" s="25"/>
    </row>
    <row r="52" spans="1:16" x14ac:dyDescent="0.3">
      <c r="N52" s="25"/>
      <c r="O52" s="32"/>
      <c r="P52" s="25"/>
    </row>
    <row r="53" spans="1:16" x14ac:dyDescent="0.3">
      <c r="N53" s="25"/>
      <c r="O53" s="25"/>
      <c r="P53" s="25"/>
    </row>
    <row r="55" spans="1:16" x14ac:dyDescent="0.3">
      <c r="O55" s="57"/>
    </row>
    <row r="58" spans="1:16" s="30" customFormat="1" x14ac:dyDescent="0.3">
      <c r="A58" s="56"/>
      <c r="B58" s="51"/>
      <c r="C58" s="51"/>
      <c r="D58" s="51"/>
      <c r="E58" s="51"/>
      <c r="F58" s="51"/>
      <c r="G58" s="51"/>
      <c r="H58" s="51"/>
      <c r="I58" s="51"/>
      <c r="J58" s="51"/>
      <c r="K58" s="51"/>
      <c r="L58" s="52"/>
      <c r="M58" s="29"/>
    </row>
    <row r="66" spans="13:13" x14ac:dyDescent="0.3">
      <c r="M66" s="2"/>
    </row>
    <row r="67" spans="13:13" x14ac:dyDescent="0.3">
      <c r="M67" s="2"/>
    </row>
    <row r="68" spans="13:13" x14ac:dyDescent="0.3">
      <c r="M68" s="2"/>
    </row>
    <row r="69" spans="13:13" x14ac:dyDescent="0.3">
      <c r="M69" s="2"/>
    </row>
    <row r="70" spans="13:13" x14ac:dyDescent="0.3">
      <c r="M70" s="2"/>
    </row>
    <row r="71" spans="13:13" x14ac:dyDescent="0.3">
      <c r="M71" s="2"/>
    </row>
    <row r="72" spans="13:13" x14ac:dyDescent="0.3">
      <c r="M72" s="2"/>
    </row>
    <row r="73" spans="13:13" x14ac:dyDescent="0.3">
      <c r="M73" s="2"/>
    </row>
    <row r="74" spans="13:13" x14ac:dyDescent="0.3">
      <c r="M74" s="2"/>
    </row>
    <row r="75" spans="13:13" x14ac:dyDescent="0.3">
      <c r="M75" s="2"/>
    </row>
    <row r="76" spans="13:13" x14ac:dyDescent="0.3">
      <c r="M76" s="2"/>
    </row>
    <row r="77" spans="13:13" x14ac:dyDescent="0.3">
      <c r="M77" s="2"/>
    </row>
    <row r="78" spans="13:13" x14ac:dyDescent="0.3">
      <c r="M78" s="2"/>
    </row>
    <row r="79" spans="13:13" x14ac:dyDescent="0.3">
      <c r="M79" s="2"/>
    </row>
    <row r="80" spans="13:13" x14ac:dyDescent="0.3">
      <c r="M80" s="2"/>
    </row>
    <row r="81" spans="1:13" x14ac:dyDescent="0.3">
      <c r="M81" s="2"/>
    </row>
    <row r="83" spans="1:13" s="30" customFormat="1" x14ac:dyDescent="0.3">
      <c r="A83" s="56"/>
      <c r="B83" s="51"/>
      <c r="C83" s="51"/>
      <c r="D83" s="51"/>
      <c r="E83" s="51"/>
      <c r="F83" s="51"/>
      <c r="G83" s="51"/>
      <c r="H83" s="51"/>
      <c r="I83" s="51"/>
      <c r="J83" s="51"/>
      <c r="K83" s="51"/>
      <c r="L83" s="52"/>
      <c r="M83" s="29"/>
    </row>
    <row r="94" spans="1:13" x14ac:dyDescent="0.3">
      <c r="M94" s="58"/>
    </row>
  </sheetData>
  <mergeCells count="2">
    <mergeCell ref="A2:L2"/>
    <mergeCell ref="C29:L36"/>
  </mergeCells>
  <conditionalFormatting sqref="L23:L25">
    <cfRule type="cellIs" dxfId="38" priority="39" operator="lessThan">
      <formula>0</formula>
    </cfRule>
  </conditionalFormatting>
  <conditionalFormatting sqref="L49 L28 L37:L45">
    <cfRule type="cellIs" dxfId="37" priority="38" operator="lessThan">
      <formula>0</formula>
    </cfRule>
  </conditionalFormatting>
  <conditionalFormatting sqref="L27">
    <cfRule type="cellIs" dxfId="36" priority="37" operator="lessThan">
      <formula>0</formula>
    </cfRule>
  </conditionalFormatting>
  <conditionalFormatting sqref="L26">
    <cfRule type="cellIs" dxfId="35" priority="36" operator="lessThan">
      <formula>0</formula>
    </cfRule>
  </conditionalFormatting>
  <conditionalFormatting sqref="L5">
    <cfRule type="cellIs" dxfId="34" priority="34" operator="lessThan">
      <formula>0</formula>
    </cfRule>
  </conditionalFormatting>
  <conditionalFormatting sqref="L46">
    <cfRule type="cellIs" dxfId="33" priority="35" operator="lessThan">
      <formula>0</formula>
    </cfRule>
  </conditionalFormatting>
  <conditionalFormatting sqref="L6">
    <cfRule type="cellIs" dxfId="32" priority="33" operator="lessThan">
      <formula>0</formula>
    </cfRule>
  </conditionalFormatting>
  <conditionalFormatting sqref="L7">
    <cfRule type="cellIs" dxfId="31" priority="32" operator="lessThan">
      <formula>0</formula>
    </cfRule>
  </conditionalFormatting>
  <conditionalFormatting sqref="L8">
    <cfRule type="cellIs" dxfId="30" priority="31" operator="lessThan">
      <formula>0</formula>
    </cfRule>
  </conditionalFormatting>
  <conditionalFormatting sqref="L9">
    <cfRule type="cellIs" dxfId="29" priority="30" operator="lessThan">
      <formula>0</formula>
    </cfRule>
  </conditionalFormatting>
  <conditionalFormatting sqref="L10">
    <cfRule type="cellIs" dxfId="28" priority="29" operator="lessThan">
      <formula>0</formula>
    </cfRule>
  </conditionalFormatting>
  <conditionalFormatting sqref="L11">
    <cfRule type="cellIs" dxfId="27" priority="28" operator="lessThan">
      <formula>0</formula>
    </cfRule>
  </conditionalFormatting>
  <conditionalFormatting sqref="L12">
    <cfRule type="cellIs" dxfId="26" priority="27" operator="lessThan">
      <formula>0</formula>
    </cfRule>
  </conditionalFormatting>
  <conditionalFormatting sqref="L13">
    <cfRule type="cellIs" dxfId="25" priority="26" operator="lessThan">
      <formula>0</formula>
    </cfRule>
  </conditionalFormatting>
  <conditionalFormatting sqref="L14">
    <cfRule type="cellIs" dxfId="24" priority="25" operator="lessThan">
      <formula>0</formula>
    </cfRule>
  </conditionalFormatting>
  <conditionalFormatting sqref="L15">
    <cfRule type="cellIs" dxfId="23" priority="24" operator="lessThan">
      <formula>0</formula>
    </cfRule>
  </conditionalFormatting>
  <conditionalFormatting sqref="L16">
    <cfRule type="cellIs" dxfId="22" priority="23" operator="lessThan">
      <formula>0</formula>
    </cfRule>
  </conditionalFormatting>
  <conditionalFormatting sqref="L17">
    <cfRule type="cellIs" dxfId="21" priority="22" operator="lessThan">
      <formula>0</formula>
    </cfRule>
  </conditionalFormatting>
  <conditionalFormatting sqref="L18">
    <cfRule type="cellIs" dxfId="20" priority="21" operator="lessThan">
      <formula>0</formula>
    </cfRule>
  </conditionalFormatting>
  <conditionalFormatting sqref="L19">
    <cfRule type="cellIs" dxfId="19" priority="20" operator="lessThan">
      <formula>0</formula>
    </cfRule>
  </conditionalFormatting>
  <conditionalFormatting sqref="L20">
    <cfRule type="cellIs" dxfId="18" priority="19" operator="lessThan">
      <formula>0</formula>
    </cfRule>
  </conditionalFormatting>
  <conditionalFormatting sqref="L21">
    <cfRule type="cellIs" dxfId="17" priority="18" operator="lessThan">
      <formula>0</formula>
    </cfRule>
  </conditionalFormatting>
  <conditionalFormatting sqref="O35">
    <cfRule type="cellIs" dxfId="16" priority="17" operator="lessThan">
      <formula>0</formula>
    </cfRule>
  </conditionalFormatting>
  <conditionalFormatting sqref="O36">
    <cfRule type="cellIs" dxfId="15" priority="16" operator="lessThan">
      <formula>0</formula>
    </cfRule>
  </conditionalFormatting>
  <conditionalFormatting sqref="O37">
    <cfRule type="cellIs" dxfId="14" priority="15" operator="lessThan">
      <formula>0</formula>
    </cfRule>
  </conditionalFormatting>
  <conditionalFormatting sqref="O38">
    <cfRule type="cellIs" dxfId="13" priority="14" operator="lessThan">
      <formula>0</formula>
    </cfRule>
  </conditionalFormatting>
  <conditionalFormatting sqref="O39">
    <cfRule type="cellIs" dxfId="12" priority="13" operator="lessThan">
      <formula>0</formula>
    </cfRule>
  </conditionalFormatting>
  <conditionalFormatting sqref="O40">
    <cfRule type="cellIs" dxfId="11" priority="12" operator="lessThan">
      <formula>0</formula>
    </cfRule>
  </conditionalFormatting>
  <conditionalFormatting sqref="O41">
    <cfRule type="cellIs" dxfId="10" priority="11" operator="lessThan">
      <formula>0</formula>
    </cfRule>
  </conditionalFormatting>
  <conditionalFormatting sqref="O42">
    <cfRule type="cellIs" dxfId="9" priority="10" operator="lessThan">
      <formula>0</formula>
    </cfRule>
  </conditionalFormatting>
  <conditionalFormatting sqref="O43">
    <cfRule type="cellIs" dxfId="8" priority="9" operator="lessThan">
      <formula>0</formula>
    </cfRule>
  </conditionalFormatting>
  <conditionalFormatting sqref="O44">
    <cfRule type="cellIs" dxfId="7" priority="8" operator="lessThan">
      <formula>0</formula>
    </cfRule>
  </conditionalFormatting>
  <conditionalFormatting sqref="O45">
    <cfRule type="cellIs" dxfId="6" priority="7" operator="lessThan">
      <formula>0</formula>
    </cfRule>
  </conditionalFormatting>
  <conditionalFormatting sqref="O46">
    <cfRule type="cellIs" dxfId="5" priority="6" operator="lessThan">
      <formula>0</formula>
    </cfRule>
  </conditionalFormatting>
  <conditionalFormatting sqref="O47">
    <cfRule type="cellIs" dxfId="4" priority="5" operator="lessThan">
      <formula>0</formula>
    </cfRule>
  </conditionalFormatting>
  <conditionalFormatting sqref="O48">
    <cfRule type="cellIs" dxfId="3" priority="4" operator="lessThan">
      <formula>0</formula>
    </cfRule>
  </conditionalFormatting>
  <conditionalFormatting sqref="O49">
    <cfRule type="cellIs" dxfId="2" priority="3" operator="lessThan">
      <formula>0</formula>
    </cfRule>
  </conditionalFormatting>
  <conditionalFormatting sqref="O50">
    <cfRule type="cellIs" dxfId="1" priority="2" operator="lessThan">
      <formula>0</formula>
    </cfRule>
  </conditionalFormatting>
  <conditionalFormatting sqref="O51">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71" fitToWidth="2"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5" sqref="J15"/>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Bachelor</vt:lpstr>
      <vt:lpstr>PPR-master</vt:lpstr>
      <vt:lpstr>KULA-master</vt:lpstr>
      <vt:lpstr>KDL-master</vt:lpstr>
      <vt:lpstr>Praksiskostnader</vt:lpstr>
      <vt:lpstr>UDO-master</vt:lpstr>
      <vt:lpstr>Metode samlet</vt:lpstr>
      <vt:lpstr>Ark2</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Yngvild Dahl</dc:creator>
  <cp:lastModifiedBy>Yngvild Dahl</cp:lastModifiedBy>
  <cp:lastPrinted>2019-01-07T12:08:54Z</cp:lastPrinted>
  <dcterms:created xsi:type="dcterms:W3CDTF">2017-08-03T09:50:37Z</dcterms:created>
  <dcterms:modified xsi:type="dcterms:W3CDTF">2021-12-22T08:08:07Z</dcterms:modified>
</cp:coreProperties>
</file>