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489" lockStructure="1"/>
  <bookViews>
    <workbookView xWindow="5190" yWindow="2880" windowWidth="19440" windowHeight="7395" firstSheet="2" activeTab="10"/>
  </bookViews>
  <sheets>
    <sheet name="0-Total" sheetId="2" r:id="rId1"/>
    <sheet name="1-Studieplasser" sheetId="1" r:id="rId2"/>
    <sheet name="2-Studiepoeng" sheetId="3" r:id="rId3"/>
    <sheet name="3-Utvekslingsstudenter" sheetId="4" r:id="rId4"/>
    <sheet name="4-Doktorgrader" sheetId="5" r:id="rId5"/>
    <sheet name="5-Stipendiatstillinger" sheetId="6" r:id="rId6"/>
    <sheet name="6-Postdocstillinger" sheetId="7" r:id="rId7"/>
    <sheet name="7-Publikasjonspoeng" sheetId="8" r:id="rId8"/>
    <sheet name="8-EFV" sheetId="9" r:id="rId9"/>
    <sheet name="9-Satsinger" sheetId="10" r:id="rId10"/>
    <sheet name="10-Annet" sheetId="15" r:id="rId11"/>
  </sheets>
  <externalReferences>
    <externalReference r:id="rId12"/>
  </externalReferences>
  <definedNames>
    <definedName name="_xlnm.Print_Area" localSheetId="0">'0-Total'!$A$1:$Q$40</definedName>
    <definedName name="_xlnm.Print_Area" localSheetId="10">'10-Annet'!$C$1:$AA$49</definedName>
    <definedName name="_xlnm.Print_Area" localSheetId="1">'1-Studieplasser'!$C$1:$AA$53</definedName>
    <definedName name="_xlnm.Print_Area" localSheetId="2">'2-Studiepoeng'!$C$1:$AA$53</definedName>
    <definedName name="_xlnm.Print_Area" localSheetId="3">'3-Utvekslingsstudenter'!$C$1:$AA$31</definedName>
    <definedName name="_xlnm.Print_Area" localSheetId="4">'4-Doktorgrader'!$C$1:$AA$31</definedName>
    <definedName name="_xlnm.Print_Area" localSheetId="5">'5-Stipendiatstillinger'!$C$1:$AA$31</definedName>
    <definedName name="_xlnm.Print_Area" localSheetId="6">'6-Postdocstillinger'!$C$1:$AA$31</definedName>
    <definedName name="_xlnm.Print_Area" localSheetId="7">'7-Publikasjonspoeng'!$C$1:$AA$31</definedName>
    <definedName name="_xlnm.Print_Area" localSheetId="8">'8-EFV'!$C$1:$AA$44</definedName>
    <definedName name="_xlnm.Print_Area" localSheetId="9">'9-Satsinger'!$C$1:$AA$54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E28" i="1"/>
  <c r="E44" i="10" l="1"/>
  <c r="G36" i="2" l="1"/>
  <c r="F36" i="2"/>
  <c r="E36" i="2"/>
  <c r="L22" i="15" l="1"/>
  <c r="J22" i="15"/>
  <c r="L30" i="15"/>
  <c r="L29" i="15"/>
  <c r="L28" i="15"/>
  <c r="L27" i="15"/>
  <c r="L26" i="15"/>
  <c r="L25" i="15"/>
  <c r="L24" i="15"/>
  <c r="J30" i="15"/>
  <c r="J29" i="15"/>
  <c r="J28" i="15"/>
  <c r="J27" i="15"/>
  <c r="J26" i="15"/>
  <c r="J24" i="15"/>
  <c r="J25" i="15"/>
  <c r="C36" i="2" l="1"/>
  <c r="C33" i="2"/>
  <c r="N22" i="2" l="1"/>
  <c r="N16" i="2" l="1"/>
  <c r="N8" i="2"/>
  <c r="I36" i="2" l="1"/>
  <c r="N36" i="2"/>
  <c r="M36" i="2" l="1"/>
  <c r="I54" i="15"/>
  <c r="G15" i="15" l="1"/>
  <c r="G14" i="15"/>
  <c r="G13" i="15"/>
  <c r="L28" i="1" l="1"/>
  <c r="L29" i="2" l="1"/>
  <c r="K29" i="2"/>
  <c r="J29" i="2"/>
  <c r="I29" i="2" l="1"/>
  <c r="K30" i="2"/>
  <c r="K31" i="2" s="1"/>
  <c r="N6" i="2" l="1"/>
  <c r="I22" i="15"/>
  <c r="M22" i="15" s="1"/>
  <c r="M14" i="15" l="1"/>
  <c r="M13" i="15"/>
  <c r="F11" i="15"/>
  <c r="H11" i="15"/>
  <c r="E11" i="15"/>
  <c r="D1" i="15"/>
  <c r="D54" i="15" s="1"/>
  <c r="D53" i="15" s="1"/>
  <c r="F12" i="10"/>
  <c r="F62" i="10" s="1"/>
  <c r="G12" i="10"/>
  <c r="G62" i="10" s="1"/>
  <c r="H12" i="10"/>
  <c r="H62" i="10" s="1"/>
  <c r="J12" i="10"/>
  <c r="K12" i="10"/>
  <c r="L12" i="10"/>
  <c r="F13" i="10"/>
  <c r="F63" i="10" s="1"/>
  <c r="G13" i="10"/>
  <c r="G63" i="10" s="1"/>
  <c r="H13" i="10"/>
  <c r="H63" i="10" s="1"/>
  <c r="J13" i="10"/>
  <c r="K13" i="10"/>
  <c r="L13" i="10"/>
  <c r="E13" i="10"/>
  <c r="E63" i="10" s="1"/>
  <c r="E12" i="10"/>
  <c r="E62" i="10" s="1"/>
  <c r="G58" i="10"/>
  <c r="E58" i="10"/>
  <c r="G40" i="10"/>
  <c r="G10" i="10" s="1"/>
  <c r="L27" i="10"/>
  <c r="K27" i="10"/>
  <c r="J27" i="10"/>
  <c r="H27" i="10"/>
  <c r="G27" i="10"/>
  <c r="F27" i="10"/>
  <c r="E27" i="10"/>
  <c r="I34" i="10"/>
  <c r="M34" i="10"/>
  <c r="I35" i="10"/>
  <c r="M35" i="10" s="1"/>
  <c r="I36" i="10"/>
  <c r="M36" i="10" s="1"/>
  <c r="I33" i="10"/>
  <c r="M33" i="10" s="1"/>
  <c r="I32" i="10"/>
  <c r="M32" i="10" s="1"/>
  <c r="I31" i="10"/>
  <c r="M31" i="10" s="1"/>
  <c r="I30" i="10"/>
  <c r="M30" i="10" s="1"/>
  <c r="I29" i="10"/>
  <c r="M29" i="10" s="1"/>
  <c r="I28" i="10"/>
  <c r="M28" i="10" s="1"/>
  <c r="E40" i="10"/>
  <c r="E10" i="10" s="1"/>
  <c r="F40" i="10"/>
  <c r="F10" i="10" s="1"/>
  <c r="H40" i="10"/>
  <c r="H10" i="10" s="1"/>
  <c r="J40" i="10"/>
  <c r="J10" i="10" s="1"/>
  <c r="K40" i="10"/>
  <c r="K10" i="10" s="1"/>
  <c r="L40" i="10"/>
  <c r="L10" i="10" s="1"/>
  <c r="I41" i="10"/>
  <c r="M41" i="10" s="1"/>
  <c r="I42" i="10"/>
  <c r="I43" i="10"/>
  <c r="M43" i="10"/>
  <c r="I44" i="10"/>
  <c r="M44" i="10"/>
  <c r="I45" i="10"/>
  <c r="M45" i="10" s="1"/>
  <c r="I46" i="10"/>
  <c r="M46" i="10" s="1"/>
  <c r="F5" i="9"/>
  <c r="E11" i="9"/>
  <c r="E5" i="9" s="1"/>
  <c r="F11" i="9"/>
  <c r="G11" i="9"/>
  <c r="G5" i="9" s="1"/>
  <c r="H11" i="9"/>
  <c r="H5" i="9" s="1"/>
  <c r="J11" i="9"/>
  <c r="J5" i="9" s="1"/>
  <c r="K11" i="9"/>
  <c r="K5" i="9" s="1"/>
  <c r="K4" i="9" s="1"/>
  <c r="L11" i="9"/>
  <c r="L5" i="9" s="1"/>
  <c r="E12" i="9"/>
  <c r="E6" i="9" s="1"/>
  <c r="F12" i="9"/>
  <c r="F6" i="9" s="1"/>
  <c r="H12" i="9"/>
  <c r="H6" i="9" s="1"/>
  <c r="J12" i="9"/>
  <c r="I12" i="9" s="1"/>
  <c r="K12" i="9"/>
  <c r="K6" i="9" s="1"/>
  <c r="L12" i="9"/>
  <c r="L6" i="9" s="1"/>
  <c r="I17" i="9"/>
  <c r="M17" i="9"/>
  <c r="G18" i="9"/>
  <c r="I18" i="9"/>
  <c r="M18" i="9"/>
  <c r="I23" i="9"/>
  <c r="M23" i="9" s="1"/>
  <c r="G24" i="9"/>
  <c r="I24" i="9"/>
  <c r="M24" i="9" s="1"/>
  <c r="I29" i="9"/>
  <c r="M29" i="9"/>
  <c r="G30" i="9"/>
  <c r="I30" i="9"/>
  <c r="M30" i="9"/>
  <c r="G12" i="9" l="1"/>
  <c r="G6" i="9" s="1"/>
  <c r="G4" i="9" s="1"/>
  <c r="J6" i="9"/>
  <c r="J4" i="9" s="1"/>
  <c r="I4" i="9" s="1"/>
  <c r="F4" i="9"/>
  <c r="H4" i="9"/>
  <c r="I12" i="10"/>
  <c r="I62" i="10" s="1"/>
  <c r="I13" i="10"/>
  <c r="I63" i="10" s="1"/>
  <c r="G11" i="15"/>
  <c r="M15" i="15"/>
  <c r="M42" i="10"/>
  <c r="I10" i="10"/>
  <c r="M10" i="10"/>
  <c r="I40" i="10"/>
  <c r="M40" i="10" s="1"/>
  <c r="L9" i="10"/>
  <c r="I20" i="10"/>
  <c r="I22" i="10"/>
  <c r="M22" i="10" s="1"/>
  <c r="I5" i="9"/>
  <c r="M5" i="9" s="1"/>
  <c r="M12" i="9"/>
  <c r="E4" i="9"/>
  <c r="I6" i="9"/>
  <c r="L4" i="9"/>
  <c r="I11" i="9"/>
  <c r="M11" i="9" s="1"/>
  <c r="W4" i="10"/>
  <c r="N15" i="2"/>
  <c r="W4" i="9" s="1"/>
  <c r="N13" i="2"/>
  <c r="N12" i="2"/>
  <c r="M4" i="9" l="1"/>
  <c r="M6" i="9"/>
  <c r="J17" i="10"/>
  <c r="J8" i="10" s="1"/>
  <c r="J9" i="10"/>
  <c r="J7" i="10" s="1"/>
  <c r="J4" i="10" s="1"/>
  <c r="J22" i="2" s="1"/>
  <c r="I23" i="10"/>
  <c r="M23" i="10" s="1"/>
  <c r="L17" i="10"/>
  <c r="L8" i="10" s="1"/>
  <c r="L7" i="10" s="1"/>
  <c r="L4" i="10" s="1"/>
  <c r="L22" i="2" s="1"/>
  <c r="K9" i="10"/>
  <c r="I18" i="10"/>
  <c r="M18" i="10" s="1"/>
  <c r="I21" i="10"/>
  <c r="M21" i="10" s="1"/>
  <c r="D1" i="10"/>
  <c r="D59" i="10" s="1"/>
  <c r="D58" i="10" s="1"/>
  <c r="G48" i="9"/>
  <c r="F49" i="9"/>
  <c r="G49" i="9"/>
  <c r="H49" i="9"/>
  <c r="I49" i="9"/>
  <c r="E49" i="9"/>
  <c r="D1" i="9"/>
  <c r="K12" i="2"/>
  <c r="L12" i="2"/>
  <c r="K13" i="2"/>
  <c r="L13" i="2"/>
  <c r="K14" i="2"/>
  <c r="L14" i="2"/>
  <c r="J14" i="2"/>
  <c r="J13" i="2"/>
  <c r="J12" i="2"/>
  <c r="F12" i="2"/>
  <c r="G12" i="2"/>
  <c r="H12" i="2"/>
  <c r="F13" i="2"/>
  <c r="G13" i="2"/>
  <c r="H13" i="2"/>
  <c r="F14" i="2"/>
  <c r="G14" i="2"/>
  <c r="H14" i="2"/>
  <c r="E14" i="2"/>
  <c r="E13" i="2"/>
  <c r="E12" i="2"/>
  <c r="G35" i="8"/>
  <c r="I10" i="4"/>
  <c r="I11" i="4"/>
  <c r="I10" i="5"/>
  <c r="I11" i="5"/>
  <c r="I10" i="8"/>
  <c r="M10" i="8" s="1"/>
  <c r="I11" i="8"/>
  <c r="G9" i="8"/>
  <c r="G10" i="8"/>
  <c r="G11" i="8"/>
  <c r="S5" i="8"/>
  <c r="R4" i="8"/>
  <c r="W4" i="8"/>
  <c r="W4" i="5"/>
  <c r="W4" i="7"/>
  <c r="M11" i="8"/>
  <c r="K9" i="8"/>
  <c r="I9" i="8" s="1"/>
  <c r="J9" i="8"/>
  <c r="L8" i="8"/>
  <c r="J8" i="8"/>
  <c r="J4" i="8" s="1"/>
  <c r="H8" i="8"/>
  <c r="G8" i="8"/>
  <c r="G4" i="8" s="1"/>
  <c r="G36" i="8" s="1"/>
  <c r="F8" i="8"/>
  <c r="E8" i="8"/>
  <c r="D1" i="8"/>
  <c r="D36" i="8" s="1"/>
  <c r="D35" i="8" s="1"/>
  <c r="G10" i="7"/>
  <c r="G35" i="7"/>
  <c r="G9" i="7"/>
  <c r="G8" i="7"/>
  <c r="L11" i="7"/>
  <c r="K11" i="7"/>
  <c r="J11" i="7"/>
  <c r="F11" i="7"/>
  <c r="E11" i="7"/>
  <c r="I10" i="7"/>
  <c r="M10" i="7"/>
  <c r="I9" i="7"/>
  <c r="M9" i="7"/>
  <c r="K8" i="7"/>
  <c r="J8" i="7"/>
  <c r="J4" i="7" s="1"/>
  <c r="I8" i="7"/>
  <c r="I11" i="7" s="1"/>
  <c r="H11" i="7"/>
  <c r="L4" i="7"/>
  <c r="K4" i="7"/>
  <c r="G4" i="7"/>
  <c r="G36" i="7" s="1"/>
  <c r="F4" i="7"/>
  <c r="F36" i="7" s="1"/>
  <c r="E4" i="7"/>
  <c r="E36" i="7" s="1"/>
  <c r="D1" i="7"/>
  <c r="D36" i="7" s="1"/>
  <c r="D35" i="7" s="1"/>
  <c r="W4" i="6"/>
  <c r="L4" i="6"/>
  <c r="K4" i="6"/>
  <c r="J4" i="6"/>
  <c r="H4" i="6"/>
  <c r="G4" i="6"/>
  <c r="F4" i="6"/>
  <c r="E4" i="6"/>
  <c r="H8" i="6"/>
  <c r="G8" i="6"/>
  <c r="G10" i="6"/>
  <c r="I9" i="6"/>
  <c r="I10" i="6"/>
  <c r="M10" i="6" s="1"/>
  <c r="G9" i="6"/>
  <c r="M9" i="6" s="1"/>
  <c r="G35" i="6"/>
  <c r="K8" i="6"/>
  <c r="J8" i="6"/>
  <c r="I8" i="6"/>
  <c r="M8" i="6"/>
  <c r="L11" i="6"/>
  <c r="K11" i="6"/>
  <c r="J11" i="6"/>
  <c r="H11" i="6"/>
  <c r="H36" i="6" s="1"/>
  <c r="F11" i="6"/>
  <c r="E11" i="6"/>
  <c r="D1" i="6"/>
  <c r="D36" i="6" s="1"/>
  <c r="D35" i="6" s="1"/>
  <c r="D8" i="7" l="1"/>
  <c r="D9" i="7" s="1"/>
  <c r="D10" i="7" s="1"/>
  <c r="D9" i="8"/>
  <c r="D10" i="8" s="1"/>
  <c r="D11" i="8" s="1"/>
  <c r="D49" i="9"/>
  <c r="D48" i="9" s="1"/>
  <c r="D15" i="9"/>
  <c r="D21" i="9" s="1"/>
  <c r="D27" i="9" s="1"/>
  <c r="D8" i="6"/>
  <c r="P5" i="6"/>
  <c r="P5" i="8"/>
  <c r="P5" i="7"/>
  <c r="I9" i="10"/>
  <c r="K17" i="10"/>
  <c r="K8" i="10" s="1"/>
  <c r="I8" i="10" s="1"/>
  <c r="I27" i="10"/>
  <c r="I19" i="10"/>
  <c r="M19" i="10" s="1"/>
  <c r="M13" i="10"/>
  <c r="L15" i="2"/>
  <c r="L16" i="2" s="1"/>
  <c r="F4" i="8"/>
  <c r="F36" i="8" s="1"/>
  <c r="H4" i="8"/>
  <c r="H36" i="8" s="1"/>
  <c r="E4" i="8"/>
  <c r="E36" i="8" s="1"/>
  <c r="L4" i="8"/>
  <c r="M9" i="8"/>
  <c r="M8" i="8" s="1"/>
  <c r="I8" i="8"/>
  <c r="K8" i="8"/>
  <c r="K4" i="8" s="1"/>
  <c r="I4" i="7"/>
  <c r="I36" i="7" s="1"/>
  <c r="M8" i="7"/>
  <c r="M11" i="7" s="1"/>
  <c r="H4" i="7"/>
  <c r="G11" i="7"/>
  <c r="F36" i="6"/>
  <c r="I11" i="6"/>
  <c r="M11" i="6"/>
  <c r="I4" i="6"/>
  <c r="I36" i="6" s="1"/>
  <c r="E36" i="6"/>
  <c r="G11" i="6"/>
  <c r="G36" i="6" s="1"/>
  <c r="G40" i="3"/>
  <c r="G20" i="3" s="1"/>
  <c r="G10" i="3" s="1"/>
  <c r="F40" i="3"/>
  <c r="F20" i="3" s="1"/>
  <c r="F10" i="3" s="1"/>
  <c r="L11" i="2"/>
  <c r="K11" i="2"/>
  <c r="J11" i="2"/>
  <c r="H11" i="2"/>
  <c r="F11" i="2"/>
  <c r="G11" i="2"/>
  <c r="E11" i="2"/>
  <c r="R4" i="5"/>
  <c r="G9" i="5"/>
  <c r="G8" i="5" s="1"/>
  <c r="G4" i="5" s="1"/>
  <c r="G36" i="5" s="1"/>
  <c r="G10" i="5"/>
  <c r="G11" i="5"/>
  <c r="G35" i="5"/>
  <c r="M11" i="5"/>
  <c r="M10" i="5"/>
  <c r="K9" i="5"/>
  <c r="J9" i="5"/>
  <c r="J8" i="5" s="1"/>
  <c r="J4" i="5" s="1"/>
  <c r="I9" i="5"/>
  <c r="M9" i="5" s="1"/>
  <c r="L8" i="5"/>
  <c r="L4" i="5" s="1"/>
  <c r="K8" i="5"/>
  <c r="H8" i="5"/>
  <c r="F8" i="5"/>
  <c r="F4" i="5" s="1"/>
  <c r="F36" i="5" s="1"/>
  <c r="E8" i="5"/>
  <c r="E4" i="5" s="1"/>
  <c r="E36" i="5" s="1"/>
  <c r="K4" i="5"/>
  <c r="H4" i="5"/>
  <c r="H36" i="5" s="1"/>
  <c r="D1" i="5"/>
  <c r="D36" i="5" s="1"/>
  <c r="D35" i="5" s="1"/>
  <c r="K7" i="2"/>
  <c r="F7" i="2"/>
  <c r="G7" i="2"/>
  <c r="H7" i="2"/>
  <c r="E7" i="2"/>
  <c r="H6" i="2"/>
  <c r="J6" i="2"/>
  <c r="K6" i="2"/>
  <c r="L6" i="2"/>
  <c r="G35" i="4"/>
  <c r="F4" i="4"/>
  <c r="G4" i="4"/>
  <c r="W4" i="4"/>
  <c r="L8" i="4"/>
  <c r="L4" i="4" s="1"/>
  <c r="L7" i="2" s="1"/>
  <c r="K8" i="4"/>
  <c r="K4" i="4" s="1"/>
  <c r="J8" i="4"/>
  <c r="J4" i="4" s="1"/>
  <c r="J7" i="2" s="1"/>
  <c r="F8" i="4"/>
  <c r="G8" i="4"/>
  <c r="E8" i="4"/>
  <c r="E4" i="4" s="1"/>
  <c r="K9" i="4"/>
  <c r="H8" i="4"/>
  <c r="H4" i="4" s="1"/>
  <c r="D1" i="4"/>
  <c r="K15" i="3"/>
  <c r="K5" i="3" s="1"/>
  <c r="L15" i="3"/>
  <c r="K16" i="3"/>
  <c r="K6" i="3" s="1"/>
  <c r="L16" i="3"/>
  <c r="K17" i="3"/>
  <c r="L17" i="3"/>
  <c r="L7" i="3" s="1"/>
  <c r="K18" i="3"/>
  <c r="K14" i="3" s="1"/>
  <c r="L18" i="3"/>
  <c r="L8" i="3" s="1"/>
  <c r="K19" i="3"/>
  <c r="K9" i="3" s="1"/>
  <c r="L19" i="3"/>
  <c r="K20" i="3"/>
  <c r="K10" i="3" s="1"/>
  <c r="L20" i="3"/>
  <c r="J20" i="3"/>
  <c r="J19" i="3"/>
  <c r="J18" i="3"/>
  <c r="J8" i="3" s="1"/>
  <c r="J17" i="3"/>
  <c r="J7" i="3" s="1"/>
  <c r="J16" i="3"/>
  <c r="J15" i="3"/>
  <c r="F15" i="3"/>
  <c r="G15" i="3"/>
  <c r="H15" i="3"/>
  <c r="F16" i="3"/>
  <c r="G16" i="3"/>
  <c r="H16" i="3"/>
  <c r="F17" i="3"/>
  <c r="F7" i="3" s="1"/>
  <c r="G17" i="3"/>
  <c r="G7" i="3" s="1"/>
  <c r="H17" i="3"/>
  <c r="H7" i="3" s="1"/>
  <c r="F18" i="3"/>
  <c r="G18" i="3"/>
  <c r="H18" i="3"/>
  <c r="F19" i="3"/>
  <c r="F9" i="3" s="1"/>
  <c r="G19" i="3"/>
  <c r="G9" i="3" s="1"/>
  <c r="H19" i="3"/>
  <c r="H9" i="3" s="1"/>
  <c r="H20" i="3"/>
  <c r="E16" i="3"/>
  <c r="E17" i="3"/>
  <c r="E7" i="3" s="1"/>
  <c r="E18" i="3"/>
  <c r="E8" i="3" s="1"/>
  <c r="E19" i="3"/>
  <c r="E9" i="3" s="1"/>
  <c r="E20" i="3"/>
  <c r="E10" i="3" s="1"/>
  <c r="E15" i="3"/>
  <c r="W4" i="3"/>
  <c r="I50" i="3"/>
  <c r="M50" i="3" s="1"/>
  <c r="I49" i="3"/>
  <c r="M49" i="3" s="1"/>
  <c r="I48" i="3"/>
  <c r="M48" i="3" s="1"/>
  <c r="M47" i="3"/>
  <c r="I47" i="3"/>
  <c r="I46" i="3"/>
  <c r="M46" i="3" s="1"/>
  <c r="I45" i="3"/>
  <c r="L44" i="3"/>
  <c r="K44" i="3"/>
  <c r="J44" i="3"/>
  <c r="H44" i="3"/>
  <c r="G44" i="3"/>
  <c r="F44" i="3"/>
  <c r="E44" i="3"/>
  <c r="I40" i="3"/>
  <c r="I39" i="3"/>
  <c r="M39" i="3" s="1"/>
  <c r="I38" i="3"/>
  <c r="M38" i="3" s="1"/>
  <c r="I37" i="3"/>
  <c r="M37" i="3" s="1"/>
  <c r="I36" i="3"/>
  <c r="M36" i="3" s="1"/>
  <c r="I35" i="3"/>
  <c r="I34" i="3" s="1"/>
  <c r="L34" i="3"/>
  <c r="K34" i="3"/>
  <c r="J34" i="3"/>
  <c r="H34" i="3"/>
  <c r="G34" i="3"/>
  <c r="F34" i="3"/>
  <c r="E34" i="3"/>
  <c r="M30" i="3"/>
  <c r="I30" i="3"/>
  <c r="I29" i="3"/>
  <c r="M29" i="3" s="1"/>
  <c r="I28" i="3"/>
  <c r="M28" i="3" s="1"/>
  <c r="I27" i="3"/>
  <c r="M27" i="3" s="1"/>
  <c r="I26" i="3"/>
  <c r="M26" i="3" s="1"/>
  <c r="I25" i="3"/>
  <c r="M25" i="3" s="1"/>
  <c r="L24" i="3"/>
  <c r="K24" i="3"/>
  <c r="J24" i="3"/>
  <c r="H24" i="3"/>
  <c r="G24" i="3"/>
  <c r="F24" i="3"/>
  <c r="E24" i="3"/>
  <c r="L10" i="3"/>
  <c r="J10" i="3"/>
  <c r="H10" i="3"/>
  <c r="G8" i="3"/>
  <c r="F8" i="3"/>
  <c r="K7" i="3"/>
  <c r="L6" i="3"/>
  <c r="J6" i="3"/>
  <c r="I16" i="3"/>
  <c r="F6" i="3"/>
  <c r="L5" i="3"/>
  <c r="G5" i="3"/>
  <c r="E5" i="3"/>
  <c r="L9" i="3"/>
  <c r="J9" i="3"/>
  <c r="K8" i="3"/>
  <c r="G6" i="3"/>
  <c r="E6" i="3"/>
  <c r="H5" i="3"/>
  <c r="F5" i="3"/>
  <c r="D1" i="3"/>
  <c r="H34" i="1"/>
  <c r="H24" i="1"/>
  <c r="H20" i="1"/>
  <c r="H10" i="1" s="1"/>
  <c r="H19" i="1"/>
  <c r="H9" i="1" s="1"/>
  <c r="H18" i="1"/>
  <c r="H8" i="1" s="1"/>
  <c r="H17" i="1"/>
  <c r="H16" i="1"/>
  <c r="H15" i="1"/>
  <c r="H5" i="1" s="1"/>
  <c r="H6" i="1"/>
  <c r="O36" i="2"/>
  <c r="P36" i="2" s="1"/>
  <c r="J23" i="2"/>
  <c r="L23" i="2"/>
  <c r="I13" i="2"/>
  <c r="M13" i="2" s="1"/>
  <c r="O13" i="2" s="1"/>
  <c r="P13" i="2" s="1"/>
  <c r="I14" i="2"/>
  <c r="M14" i="2" s="1"/>
  <c r="O14" i="2" s="1"/>
  <c r="P14" i="2" s="1"/>
  <c r="I12" i="2"/>
  <c r="M12" i="2" s="1"/>
  <c r="O12" i="2" s="1"/>
  <c r="P12" i="2" s="1"/>
  <c r="N31" i="2"/>
  <c r="N23" i="2"/>
  <c r="I6" i="2" l="1"/>
  <c r="I7" i="2"/>
  <c r="M7" i="2" s="1"/>
  <c r="O7" i="2" s="1"/>
  <c r="I11" i="2"/>
  <c r="M11" i="2" s="1"/>
  <c r="O11" i="2" s="1"/>
  <c r="P11" i="2" s="1"/>
  <c r="D36" i="4"/>
  <c r="D35" i="4" s="1"/>
  <c r="P5" i="4"/>
  <c r="D9" i="4"/>
  <c r="D10" i="4" s="1"/>
  <c r="D11" i="4" s="1"/>
  <c r="D58" i="3"/>
  <c r="D57" i="3" s="1"/>
  <c r="D23" i="3"/>
  <c r="D33" i="3" s="1"/>
  <c r="D43" i="3" s="1"/>
  <c r="D10" i="6"/>
  <c r="D9" i="6"/>
  <c r="D9" i="5"/>
  <c r="D10" i="5" s="1"/>
  <c r="D11" i="5" s="1"/>
  <c r="P5" i="5"/>
  <c r="K7" i="10"/>
  <c r="K4" i="10" s="1"/>
  <c r="K22" i="2" s="1"/>
  <c r="I17" i="10"/>
  <c r="M12" i="10"/>
  <c r="K15" i="2"/>
  <c r="K16" i="2" s="1"/>
  <c r="I4" i="8"/>
  <c r="I36" i="8" s="1"/>
  <c r="M4" i="8"/>
  <c r="X4" i="8" s="1"/>
  <c r="Y4" i="8" s="1"/>
  <c r="Z4" i="8" s="1"/>
  <c r="H36" i="7"/>
  <c r="M4" i="7"/>
  <c r="X4" i="7" s="1"/>
  <c r="Y4" i="7" s="1"/>
  <c r="Z4" i="7" s="1"/>
  <c r="M4" i="6"/>
  <c r="X4" i="6" s="1"/>
  <c r="Y4" i="6" s="1"/>
  <c r="Z4" i="6" s="1"/>
  <c r="M40" i="3"/>
  <c r="I4" i="5"/>
  <c r="I36" i="5" s="1"/>
  <c r="M8" i="5"/>
  <c r="M4" i="5"/>
  <c r="X4" i="5" s="1"/>
  <c r="Y4" i="5" s="1"/>
  <c r="Z4" i="5" s="1"/>
  <c r="I8" i="5"/>
  <c r="H36" i="4"/>
  <c r="G36" i="4"/>
  <c r="I9" i="4"/>
  <c r="I8" i="4" s="1"/>
  <c r="F36" i="4"/>
  <c r="M10" i="4"/>
  <c r="M11" i="4"/>
  <c r="H14" i="1"/>
  <c r="H14" i="3"/>
  <c r="I6" i="3"/>
  <c r="I24" i="3"/>
  <c r="M24" i="3" s="1"/>
  <c r="I44" i="3"/>
  <c r="J14" i="3"/>
  <c r="I17" i="3"/>
  <c r="M17" i="3" s="1"/>
  <c r="I7" i="3"/>
  <c r="I9" i="3"/>
  <c r="M9" i="3" s="1"/>
  <c r="J5" i="3"/>
  <c r="I5" i="3" s="1"/>
  <c r="M5" i="3" s="1"/>
  <c r="I15" i="3"/>
  <c r="M15" i="3" s="1"/>
  <c r="M16" i="3"/>
  <c r="H8" i="3"/>
  <c r="I10" i="3"/>
  <c r="M10" i="3" s="1"/>
  <c r="I8" i="3"/>
  <c r="M7" i="3"/>
  <c r="M44" i="3"/>
  <c r="M45" i="3"/>
  <c r="E4" i="3"/>
  <c r="E6" i="2" s="1"/>
  <c r="G4" i="3"/>
  <c r="G6" i="2" s="1"/>
  <c r="F4" i="3"/>
  <c r="F6" i="2" s="1"/>
  <c r="K4" i="3"/>
  <c r="M34" i="3"/>
  <c r="L4" i="3"/>
  <c r="H6" i="3"/>
  <c r="H4" i="3" s="1"/>
  <c r="M35" i="3"/>
  <c r="L14" i="3"/>
  <c r="E14" i="3"/>
  <c r="I18" i="3"/>
  <c r="M18" i="3" s="1"/>
  <c r="F14" i="3"/>
  <c r="I19" i="3"/>
  <c r="M19" i="3" s="1"/>
  <c r="G14" i="3"/>
  <c r="I20" i="3"/>
  <c r="M20" i="3" s="1"/>
  <c r="H7" i="1"/>
  <c r="H4" i="1" s="1"/>
  <c r="D1" i="1"/>
  <c r="D58" i="1" s="1"/>
  <c r="D57" i="1" s="1"/>
  <c r="I30" i="1"/>
  <c r="M30" i="1" s="1"/>
  <c r="I29" i="1"/>
  <c r="M29" i="1" s="1"/>
  <c r="I28" i="1"/>
  <c r="M28" i="1" s="1"/>
  <c r="I27" i="1"/>
  <c r="M27" i="1" s="1"/>
  <c r="I26" i="1"/>
  <c r="M26" i="1" s="1"/>
  <c r="I25" i="1"/>
  <c r="M25" i="1" s="1"/>
  <c r="I40" i="1"/>
  <c r="M40" i="1" s="1"/>
  <c r="I39" i="1"/>
  <c r="M39" i="1" s="1"/>
  <c r="I38" i="1"/>
  <c r="M38" i="1" s="1"/>
  <c r="I37" i="1"/>
  <c r="M37" i="1" s="1"/>
  <c r="I36" i="1"/>
  <c r="M36" i="1" s="1"/>
  <c r="I35" i="1"/>
  <c r="M35" i="1" s="1"/>
  <c r="F15" i="1"/>
  <c r="F5" i="1" s="1"/>
  <c r="G15" i="1"/>
  <c r="G5" i="1" s="1"/>
  <c r="J15" i="1"/>
  <c r="K15" i="1"/>
  <c r="K5" i="1" s="1"/>
  <c r="L15" i="1"/>
  <c r="L5" i="1" s="1"/>
  <c r="F16" i="1"/>
  <c r="F6" i="1" s="1"/>
  <c r="G16" i="1"/>
  <c r="G6" i="1" s="1"/>
  <c r="J16" i="1"/>
  <c r="J6" i="1" s="1"/>
  <c r="K16" i="1"/>
  <c r="K6" i="1" s="1"/>
  <c r="L16" i="1"/>
  <c r="L6" i="1" s="1"/>
  <c r="F17" i="1"/>
  <c r="F7" i="1" s="1"/>
  <c r="G17" i="1"/>
  <c r="G7" i="1" s="1"/>
  <c r="J17" i="1"/>
  <c r="K17" i="1"/>
  <c r="K7" i="1" s="1"/>
  <c r="L17" i="1"/>
  <c r="L7" i="1" s="1"/>
  <c r="F18" i="1"/>
  <c r="F8" i="1" s="1"/>
  <c r="G18" i="1"/>
  <c r="G8" i="1" s="1"/>
  <c r="J18" i="1"/>
  <c r="J8" i="1" s="1"/>
  <c r="K18" i="1"/>
  <c r="K8" i="1" s="1"/>
  <c r="L18" i="1"/>
  <c r="L8" i="1" s="1"/>
  <c r="F19" i="1"/>
  <c r="F9" i="1" s="1"/>
  <c r="G19" i="1"/>
  <c r="G9" i="1" s="1"/>
  <c r="J19" i="1"/>
  <c r="J9" i="1" s="1"/>
  <c r="K19" i="1"/>
  <c r="K9" i="1" s="1"/>
  <c r="L19" i="1"/>
  <c r="L9" i="1" s="1"/>
  <c r="F20" i="1"/>
  <c r="F10" i="1" s="1"/>
  <c r="G20" i="1"/>
  <c r="J20" i="1"/>
  <c r="J10" i="1" s="1"/>
  <c r="K20" i="1"/>
  <c r="K10" i="1" s="1"/>
  <c r="L20" i="1"/>
  <c r="L10" i="1" s="1"/>
  <c r="J7" i="1"/>
  <c r="F24" i="1"/>
  <c r="G24" i="1"/>
  <c r="J24" i="1"/>
  <c r="K24" i="1"/>
  <c r="L24" i="1"/>
  <c r="F34" i="1"/>
  <c r="G34" i="1"/>
  <c r="J34" i="1"/>
  <c r="K34" i="1"/>
  <c r="L34" i="1"/>
  <c r="E34" i="1"/>
  <c r="E24" i="1"/>
  <c r="E16" i="1"/>
  <c r="E17" i="1"/>
  <c r="E7" i="1" s="1"/>
  <c r="E18" i="1"/>
  <c r="E8" i="1" s="1"/>
  <c r="E19" i="1"/>
  <c r="E9" i="1" s="1"/>
  <c r="E20" i="1"/>
  <c r="E10" i="1" s="1"/>
  <c r="E15" i="1"/>
  <c r="E5" i="1" s="1"/>
  <c r="W4" i="1"/>
  <c r="P7" i="2" l="1"/>
  <c r="I22" i="2"/>
  <c r="K23" i="2"/>
  <c r="I23" i="2" s="1"/>
  <c r="I7" i="10"/>
  <c r="I4" i="10"/>
  <c r="I59" i="10" s="1"/>
  <c r="J15" i="2"/>
  <c r="I4" i="4"/>
  <c r="I36" i="4" s="1"/>
  <c r="M9" i="4"/>
  <c r="M8" i="4" s="1"/>
  <c r="H58" i="1"/>
  <c r="H5" i="2"/>
  <c r="H8" i="2" s="1"/>
  <c r="I6" i="1"/>
  <c r="M8" i="3"/>
  <c r="J4" i="3"/>
  <c r="I4" i="3" s="1"/>
  <c r="H58" i="3"/>
  <c r="G58" i="3"/>
  <c r="F58" i="3"/>
  <c r="M6" i="3"/>
  <c r="E58" i="3"/>
  <c r="I14" i="3"/>
  <c r="M14" i="3" s="1"/>
  <c r="I34" i="1"/>
  <c r="M34" i="1" s="1"/>
  <c r="I9" i="1"/>
  <c r="M9" i="1" s="1"/>
  <c r="I19" i="1"/>
  <c r="M19" i="1" s="1"/>
  <c r="I7" i="1"/>
  <c r="M7" i="1" s="1"/>
  <c r="I17" i="1"/>
  <c r="M17" i="1" s="1"/>
  <c r="I8" i="1"/>
  <c r="M8" i="1" s="1"/>
  <c r="I18" i="1"/>
  <c r="M18" i="1" s="1"/>
  <c r="I15" i="1"/>
  <c r="I10" i="1"/>
  <c r="I20" i="1"/>
  <c r="M20" i="1" s="1"/>
  <c r="I16" i="1"/>
  <c r="M16" i="1" s="1"/>
  <c r="I24" i="1"/>
  <c r="M24" i="1" s="1"/>
  <c r="J14" i="1"/>
  <c r="F14" i="1"/>
  <c r="G10" i="1"/>
  <c r="G4" i="1" s="1"/>
  <c r="J5" i="1"/>
  <c r="J4" i="1" s="1"/>
  <c r="J5" i="2" s="1"/>
  <c r="J8" i="2" s="1"/>
  <c r="G14" i="1"/>
  <c r="L14" i="1"/>
  <c r="K14" i="1"/>
  <c r="F4" i="1"/>
  <c r="L4" i="1"/>
  <c r="L5" i="2" s="1"/>
  <c r="L8" i="2" s="1"/>
  <c r="K4" i="1"/>
  <c r="K5" i="2" s="1"/>
  <c r="K8" i="2" s="1"/>
  <c r="E14" i="1"/>
  <c r="E6" i="1"/>
  <c r="J16" i="2" l="1"/>
  <c r="I16" i="2" s="1"/>
  <c r="J23" i="15"/>
  <c r="I29" i="15"/>
  <c r="M29" i="15" s="1"/>
  <c r="I26" i="15"/>
  <c r="M26" i="15" s="1"/>
  <c r="I25" i="15"/>
  <c r="M25" i="15" s="1"/>
  <c r="I28" i="15"/>
  <c r="M28" i="15" s="1"/>
  <c r="I27" i="15"/>
  <c r="M27" i="15" s="1"/>
  <c r="I30" i="15"/>
  <c r="M30" i="15" s="1"/>
  <c r="E9" i="10"/>
  <c r="I15" i="2"/>
  <c r="E36" i="4"/>
  <c r="M4" i="4"/>
  <c r="X4" i="4" s="1"/>
  <c r="Y4" i="4" s="1"/>
  <c r="Z4" i="4" s="1"/>
  <c r="M6" i="1"/>
  <c r="I58" i="3"/>
  <c r="M4" i="3"/>
  <c r="X4" i="3" s="1"/>
  <c r="Y4" i="3" s="1"/>
  <c r="Z4" i="3" s="1"/>
  <c r="M6" i="2"/>
  <c r="O6" i="2" s="1"/>
  <c r="P6" i="2" s="1"/>
  <c r="F5" i="2"/>
  <c r="F8" i="2" s="1"/>
  <c r="F58" i="1"/>
  <c r="I5" i="1"/>
  <c r="M5" i="1" s="1"/>
  <c r="I14" i="1"/>
  <c r="M14" i="1" s="1"/>
  <c r="M15" i="1"/>
  <c r="G5" i="2"/>
  <c r="G8" i="2" s="1"/>
  <c r="G58" i="1"/>
  <c r="M10" i="1"/>
  <c r="E4" i="1"/>
  <c r="L23" i="15" l="1"/>
  <c r="I24" i="15"/>
  <c r="E17" i="10"/>
  <c r="E8" i="10" s="1"/>
  <c r="E5" i="2"/>
  <c r="E8" i="2" s="1"/>
  <c r="E58" i="1"/>
  <c r="I4" i="1"/>
  <c r="I58" i="1" s="1"/>
  <c r="I23" i="15" l="1"/>
  <c r="M23" i="15" s="1"/>
  <c r="M24" i="15"/>
  <c r="E7" i="10"/>
  <c r="E4" i="10" s="1"/>
  <c r="E22" i="2" s="1"/>
  <c r="M4" i="1"/>
  <c r="X4" i="1" s="1"/>
  <c r="Y4" i="1" s="1"/>
  <c r="Z4" i="1" s="1"/>
  <c r="I5" i="2"/>
  <c r="M5" i="2" s="1"/>
  <c r="O5" i="2" s="1"/>
  <c r="O8" i="2" s="1"/>
  <c r="E23" i="2" l="1"/>
  <c r="P5" i="2"/>
  <c r="E59" i="10" l="1"/>
  <c r="H15" i="2" l="1"/>
  <c r="H16" i="2" s="1"/>
  <c r="G15" i="2"/>
  <c r="G16" i="2" s="1"/>
  <c r="F15" i="2"/>
  <c r="F16" i="2" s="1"/>
  <c r="X4" i="9" l="1"/>
  <c r="Y4" i="9" s="1"/>
  <c r="Z4" i="9" s="1"/>
  <c r="E15" i="2"/>
  <c r="E16" i="2" s="1"/>
  <c r="M15" i="2" l="1"/>
  <c r="O15" i="2" s="1"/>
  <c r="O16" i="2" s="1"/>
  <c r="P15" i="2" l="1"/>
  <c r="P16" i="2"/>
  <c r="M16" i="2"/>
  <c r="H9" i="10" l="1"/>
  <c r="H17" i="10"/>
  <c r="H8" i="10" s="1"/>
  <c r="H7" i="10" l="1"/>
  <c r="H4" i="10" s="1"/>
  <c r="F17" i="10"/>
  <c r="F8" i="10" s="1"/>
  <c r="G17" i="10"/>
  <c r="G8" i="10" s="1"/>
  <c r="F9" i="10"/>
  <c r="G9" i="10"/>
  <c r="M20" i="10"/>
  <c r="H59" i="10" l="1"/>
  <c r="H22" i="2"/>
  <c r="H23" i="2" s="1"/>
  <c r="M8" i="10"/>
  <c r="G7" i="10"/>
  <c r="G4" i="10" s="1"/>
  <c r="M17" i="10"/>
  <c r="M27" i="10"/>
  <c r="F7" i="10"/>
  <c r="F4" i="10" s="1"/>
  <c r="M9" i="10"/>
  <c r="G59" i="10" l="1"/>
  <c r="G22" i="2"/>
  <c r="G23" i="2" s="1"/>
  <c r="M7" i="10"/>
  <c r="F59" i="10"/>
  <c r="F22" i="2"/>
  <c r="M4" i="10"/>
  <c r="X4" i="10" s="1"/>
  <c r="Y4" i="10" s="1"/>
  <c r="Z4" i="10" s="1"/>
  <c r="M11" i="15"/>
  <c r="G12" i="15" s="1"/>
  <c r="G8" i="15" l="1"/>
  <c r="G54" i="15" s="1"/>
  <c r="F23" i="2"/>
  <c r="M22" i="2"/>
  <c r="O22" i="2" s="1"/>
  <c r="P22" i="2" s="1"/>
  <c r="G7" i="15"/>
  <c r="H12" i="15"/>
  <c r="F12" i="15"/>
  <c r="E12" i="15"/>
  <c r="H8" i="15" l="1"/>
  <c r="H54" i="15" s="1"/>
  <c r="E8" i="15"/>
  <c r="E54" i="15" s="1"/>
  <c r="E7" i="15"/>
  <c r="F8" i="15"/>
  <c r="F54" i="15" s="1"/>
  <c r="M23" i="2"/>
  <c r="O23" i="2" s="1"/>
  <c r="P23" i="2" s="1"/>
  <c r="F7" i="15"/>
  <c r="H7" i="15"/>
  <c r="M12" i="15"/>
  <c r="M8" i="15" l="1"/>
  <c r="M7" i="15"/>
  <c r="E19" i="2"/>
  <c r="E26" i="2" s="1"/>
  <c r="H19" i="2"/>
  <c r="H26" i="2"/>
  <c r="G19" i="2"/>
  <c r="G26" i="2" s="1"/>
  <c r="F19" i="2"/>
  <c r="F26" i="2" s="1"/>
  <c r="J19" i="2"/>
  <c r="J26" i="2" l="1"/>
  <c r="J21" i="15" l="1"/>
  <c r="J20" i="15" l="1"/>
  <c r="J5" i="15" l="1"/>
  <c r="J30" i="2" l="1"/>
  <c r="J31" i="2" l="1"/>
  <c r="J34" i="2" l="1"/>
  <c r="J38" i="2" l="1"/>
  <c r="J39" i="2" l="1"/>
  <c r="K19" i="2"/>
  <c r="K26" i="2" s="1"/>
  <c r="K34" i="2" s="1"/>
  <c r="K38" i="2" l="1"/>
  <c r="K39" i="2" l="1"/>
  <c r="I8" i="2"/>
  <c r="M8" i="2" s="1"/>
  <c r="L19" i="2"/>
  <c r="I19" i="2" s="1"/>
  <c r="M19" i="2" s="1"/>
  <c r="L26" i="2" l="1"/>
  <c r="L21" i="15"/>
  <c r="I26" i="2"/>
  <c r="M26" i="2" s="1"/>
  <c r="L20" i="15" l="1"/>
  <c r="I21" i="15"/>
  <c r="M21" i="15" s="1"/>
  <c r="G6" i="15" l="1"/>
  <c r="G5" i="15" s="1"/>
  <c r="G30" i="2" s="1"/>
  <c r="H6" i="15"/>
  <c r="H5" i="15" s="1"/>
  <c r="H30" i="2" s="1"/>
  <c r="F6" i="15"/>
  <c r="F5" i="15" s="1"/>
  <c r="F30" i="2" s="1"/>
  <c r="E6" i="15"/>
  <c r="I20" i="15"/>
  <c r="M20" i="15" s="1"/>
  <c r="L5" i="15"/>
  <c r="M6" i="15" l="1"/>
  <c r="E5" i="15"/>
  <c r="I5" i="15"/>
  <c r="L30" i="2"/>
  <c r="I30" i="2" l="1"/>
  <c r="L31" i="2"/>
  <c r="E30" i="2"/>
  <c r="M5" i="15"/>
  <c r="M30" i="2" l="1"/>
  <c r="I31" i="2"/>
  <c r="L34" i="2"/>
  <c r="I34" i="2" l="1"/>
  <c r="L38" i="2"/>
  <c r="I38" i="2" l="1"/>
  <c r="I39" i="2" s="1"/>
  <c r="L39" i="2"/>
  <c r="N19" i="2"/>
  <c r="O19" i="2" s="1"/>
  <c r="P19" i="2" s="1"/>
  <c r="N26" i="2"/>
  <c r="J19" i="15" s="1"/>
  <c r="I19" i="15" s="1"/>
  <c r="M19" i="15" s="1"/>
  <c r="H4" i="15" l="1"/>
  <c r="H29" i="2" s="1"/>
  <c r="H31" i="2" s="1"/>
  <c r="H34" i="2" s="1"/>
  <c r="E4" i="15"/>
  <c r="G4" i="15"/>
  <c r="G29" i="2" s="1"/>
  <c r="G31" i="2" s="1"/>
  <c r="G34" i="2" s="1"/>
  <c r="F4" i="15"/>
  <c r="F29" i="2" s="1"/>
  <c r="F31" i="2" s="1"/>
  <c r="F34" i="2" s="1"/>
  <c r="N34" i="2"/>
  <c r="O26" i="2"/>
  <c r="P26" i="2" s="1"/>
  <c r="G38" i="2" l="1"/>
  <c r="G39" i="2" s="1"/>
  <c r="F38" i="2"/>
  <c r="F39" i="2" s="1"/>
  <c r="H38" i="2"/>
  <c r="H39" i="2" s="1"/>
  <c r="M4" i="15"/>
  <c r="E29" i="2"/>
  <c r="N38" i="2"/>
  <c r="N39" i="2" s="1"/>
  <c r="M29" i="2" l="1"/>
  <c r="E31" i="2"/>
  <c r="M31" i="2" l="1"/>
  <c r="O31" i="2" s="1"/>
  <c r="P31" i="2" s="1"/>
  <c r="E34" i="2"/>
  <c r="M34" i="2" l="1"/>
  <c r="O34" i="2" s="1"/>
  <c r="P34" i="2" s="1"/>
  <c r="E38" i="2"/>
  <c r="M38" i="2" l="1"/>
  <c r="M39" i="2" s="1"/>
  <c r="E39" i="2"/>
  <c r="P8" i="2"/>
</calcChain>
</file>

<file path=xl/comments1.xml><?xml version="1.0" encoding="utf-8"?>
<comments xmlns="http://schemas.openxmlformats.org/spreadsheetml/2006/main">
  <authors>
    <author>Jarle V Traavik</author>
  </authors>
  <commentList>
    <comment ref="N6" authorId="0">
      <text>
        <r>
          <rPr>
            <sz val="9"/>
            <color indexed="81"/>
            <rFont val="Tahoma"/>
            <family val="2"/>
          </rPr>
          <t>I disponeringsskrivet er beløp for utvekslingsstudenter bakt inn her.</t>
        </r>
      </text>
    </comment>
    <comment ref="N22" authorId="0">
      <text>
        <r>
          <rPr>
            <sz val="9"/>
            <color indexed="81"/>
            <rFont val="Tahoma"/>
            <family val="2"/>
          </rPr>
          <t>Ikke justert for husleiereduksjon -4.478.000 jfr. notat 21.6.13. Bruttobelastningen videreføres i 2013 (for sent for justering inneværende år og tilnærmet null nettoeffekt på enhetene) men implementeres i 2014.</t>
        </r>
      </text>
    </comment>
    <comment ref="E36" authorId="0">
      <text>
        <r>
          <rPr>
            <sz val="9"/>
            <color indexed="81"/>
            <rFont val="Tahoma"/>
            <family val="2"/>
          </rPr>
          <t>v230911 justert for reversering av rekrutteringsstillinger, IME-split og LeP Admin til ILS for "grov" sammenlignbarhet.</t>
        </r>
      </text>
    </comment>
    <comment ref="N36" authorId="0">
      <text>
        <r>
          <rPr>
            <sz val="9"/>
            <color indexed="81"/>
            <rFont val="Tahoma"/>
            <family val="2"/>
          </rPr>
          <t>208.510.000 i tildeling i 2012 pluss 1.500.000 for KiS utenom tildeling som er inkludert i 2013. Modellen tildeler 1 mill mer enn mottat fra UiO pga ubrukte midler 2011.</t>
        </r>
      </text>
    </comment>
  </commentList>
</comments>
</file>

<file path=xl/comments2.xml><?xml version="1.0" encoding="utf-8"?>
<comments xmlns="http://schemas.openxmlformats.org/spreadsheetml/2006/main">
  <authors>
    <author>Jarle V Traavik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1.500.000 ikke i opprinnelig tildeling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800000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1053702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2,5-0,4 for lønn fra fakultetet 01/01-30/06/13.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Lønn fra fakultetet 01/01-30/06/13.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Må avklares om det er splitt post-fusjon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545832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kun 2013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Jarle V Traavik:</t>
        </r>
        <r>
          <rPr>
            <sz val="9"/>
            <color indexed="81"/>
            <rFont val="Tahoma"/>
            <family val="2"/>
          </rPr>
          <t xml:space="preserve">
4.769.669 i strategisk tildeling opprinnelig erstattet med studieplasser men reversert i v4 etter ønske fra iPED.</t>
        </r>
      </text>
    </comment>
    <comment ref="E44" authorId="0">
      <text>
        <r>
          <rPr>
            <sz val="9"/>
            <color indexed="81"/>
            <rFont val="Tahoma"/>
            <charset val="1"/>
          </rPr>
          <t>Konvertert til studieplasser - satsingslinjen er bare en mellomlanding i kalkylen.</t>
        </r>
      </text>
    </comment>
  </commentList>
</comments>
</file>

<file path=xl/sharedStrings.xml><?xml version="1.0" encoding="utf-8"?>
<sst xmlns="http://schemas.openxmlformats.org/spreadsheetml/2006/main" count="661" uniqueCount="126">
  <si>
    <t>Studieinntekter</t>
  </si>
  <si>
    <t>Studieplasser</t>
  </si>
  <si>
    <t>Studiepoeng</t>
  </si>
  <si>
    <t>Utvekslingsstudenter</t>
  </si>
  <si>
    <t>Doktorgrader</t>
  </si>
  <si>
    <t>Forskningsinntekter</t>
  </si>
  <si>
    <t>Stipendiatstillinger</t>
  </si>
  <si>
    <t>Postdoc stillinger</t>
  </si>
  <si>
    <t>Publikasjonspoeng</t>
  </si>
  <si>
    <t>Eksterne midler</t>
  </si>
  <si>
    <t>Produksjonsinntekter</t>
  </si>
  <si>
    <t>Øremerkinger og strategi</t>
  </si>
  <si>
    <t>Subtotal</t>
  </si>
  <si>
    <t>ILS</t>
  </si>
  <si>
    <t>ISP</t>
  </si>
  <si>
    <t>FELLES</t>
  </si>
  <si>
    <t>CEMO</t>
  </si>
  <si>
    <t>STRAT</t>
  </si>
  <si>
    <t>FAKSEK</t>
  </si>
  <si>
    <t>TOTALT</t>
  </si>
  <si>
    <t>IME+PFI</t>
  </si>
  <si>
    <t>FFS</t>
  </si>
  <si>
    <t>Totalt</t>
  </si>
  <si>
    <t>Profil og kommunikasjon</t>
  </si>
  <si>
    <t>Kat. A</t>
  </si>
  <si>
    <t>Kat. B</t>
  </si>
  <si>
    <t>Kat. C</t>
  </si>
  <si>
    <t>Kat. D</t>
  </si>
  <si>
    <t>Kat. E</t>
  </si>
  <si>
    <t>Kat. F</t>
  </si>
  <si>
    <t>PLASSER</t>
  </si>
  <si>
    <t>KRONER</t>
  </si>
  <si>
    <t>KD</t>
  </si>
  <si>
    <t>UiO</t>
  </si>
  <si>
    <t>UV</t>
  </si>
  <si>
    <t>KONTROLL</t>
  </si>
  <si>
    <t>Tildelt fra UiO</t>
  </si>
  <si>
    <t>Tildelt av UV</t>
  </si>
  <si>
    <t>Avvik</t>
  </si>
  <si>
    <t>Kommentar</t>
  </si>
  <si>
    <t>Fra UiO</t>
  </si>
  <si>
    <t>Nye</t>
  </si>
  <si>
    <t>Fra i fjor</t>
  </si>
  <si>
    <t>STUDIEPLASSINNTEKTER</t>
  </si>
  <si>
    <t>Avvik   %</t>
  </si>
  <si>
    <t>Basisinntektsfordeling ved UV</t>
  </si>
  <si>
    <t>GRAF</t>
  </si>
  <si>
    <t>Avvik %</t>
  </si>
  <si>
    <t>ΣI</t>
  </si>
  <si>
    <t>ΣII</t>
  </si>
  <si>
    <t>ΣI+II</t>
  </si>
  <si>
    <t>ΣIII</t>
  </si>
  <si>
    <t>ΣI+II+III</t>
  </si>
  <si>
    <t>ΣIV</t>
  </si>
  <si>
    <t>ΣI+II+III+IV</t>
  </si>
  <si>
    <t>SATSER FRA</t>
  </si>
  <si>
    <t>STUDIEPOENGINNTEKTER</t>
  </si>
  <si>
    <t>3-ÅRIG</t>
  </si>
  <si>
    <t>SNITT</t>
  </si>
  <si>
    <t>Poeng</t>
  </si>
  <si>
    <t>69,6-73,0%</t>
  </si>
  <si>
    <t>57,1-58,8%</t>
  </si>
  <si>
    <t>ANTALL</t>
  </si>
  <si>
    <t xml:space="preserve">/ SNITT </t>
  </si>
  <si>
    <t>UTVEKSLINGSSTUDENTER/ -INNTEKTER</t>
  </si>
  <si>
    <t>DOKTORGRADER/ -INNTEKTER</t>
  </si>
  <si>
    <t>STIPENDIATER/ -INNTEKTER</t>
  </si>
  <si>
    <t>POSTDOC/ -INNTEKTER</t>
  </si>
  <si>
    <t>PUBLIKASJONSPOENG/ -INNTEKTER</t>
  </si>
  <si>
    <t>EFV-INNTEKTER</t>
  </si>
  <si>
    <t>EU</t>
  </si>
  <si>
    <t>NFR</t>
  </si>
  <si>
    <t>INNTEKT</t>
  </si>
  <si>
    <t>56-107%</t>
  </si>
  <si>
    <t>Koordinering universitetsskolene (tom. 2014)</t>
  </si>
  <si>
    <t>FUP: styrking av samarbeid med fakultetene</t>
  </si>
  <si>
    <t>UiO - satsinger</t>
  </si>
  <si>
    <t>ØREMERKEDE TILSKUDD OG FAKULTETSSATSINGER</t>
  </si>
  <si>
    <t>UiO - andre tildelinger</t>
  </si>
  <si>
    <t>UV - satsinger</t>
  </si>
  <si>
    <t>SFU (i basis)</t>
  </si>
  <si>
    <t>LeP: varig styrking (tilpasning)</t>
  </si>
  <si>
    <t>LeP: utvidet praksis (tilpasning)</t>
  </si>
  <si>
    <t>FUP: tilleggsfinansiering (rekr. still. tilpasning)</t>
  </si>
  <si>
    <t>KALKYLE</t>
  </si>
  <si>
    <t>M</t>
  </si>
  <si>
    <t>V</t>
  </si>
  <si>
    <t>Varig tilskudd (V)</t>
  </si>
  <si>
    <t>Midlertidig tilskudd (M)</t>
  </si>
  <si>
    <t>Hvorav</t>
  </si>
  <si>
    <t>Kompensasjon, forskningstermin (dekan)</t>
  </si>
  <si>
    <t>FUP: historisk (tilpasning)</t>
  </si>
  <si>
    <t>Husleiekorreksjon IME</t>
  </si>
  <si>
    <t>Driftstilskudd: IME-splitt</t>
  </si>
  <si>
    <t>Varig</t>
  </si>
  <si>
    <t>Midlertidig</t>
  </si>
  <si>
    <t>Ledelse og strategi</t>
  </si>
  <si>
    <t>Forskning, arkiv og forværelse</t>
  </si>
  <si>
    <t>Studier</t>
  </si>
  <si>
    <t>IT</t>
  </si>
  <si>
    <t>Personal</t>
  </si>
  <si>
    <t>Økonomi</t>
  </si>
  <si>
    <t>Per seksjon</t>
  </si>
  <si>
    <t>Som nevner/ fordelingsnøkkel</t>
  </si>
  <si>
    <t>% andel</t>
  </si>
  <si>
    <t>Netto til fordeling</t>
  </si>
  <si>
    <t>Brutto til fordeling</t>
  </si>
  <si>
    <t>Overført fra i fjor</t>
  </si>
  <si>
    <t>Øremerkinger og satsinger</t>
  </si>
  <si>
    <t>Andel overført fra i fjor</t>
  </si>
  <si>
    <t>Andel brutto felleskostnad til fordeling</t>
  </si>
  <si>
    <t>Felles produksjonsinntekter</t>
  </si>
  <si>
    <t>(Over)/ underfordeling</t>
  </si>
  <si>
    <t>Andre fordelingsposter</t>
  </si>
  <si>
    <t>ANDRE FORDELINGSPOSTER</t>
  </si>
  <si>
    <t>Netto felleskostnader</t>
  </si>
  <si>
    <t>Grunntildeling 1. år</t>
  </si>
  <si>
    <t>3-årig gjennomsnitt alle årsverk</t>
  </si>
  <si>
    <t>Alle tilsatte pr. 1. oktober målt som årsverk</t>
  </si>
  <si>
    <t>http://dbh.nsd.uib.no/dbhvev/ansatte/tilsatte_rapport.cfm</t>
  </si>
  <si>
    <t>Kunnskap i skolen (tom. 2013 el 14)</t>
  </si>
  <si>
    <t>iPED</t>
  </si>
  <si>
    <t>Andel over-/ (under)fordeling i modellen</t>
  </si>
  <si>
    <t>Over-/ (under)fordeling i modellen</t>
  </si>
  <si>
    <t>Fakultetet mottok først 19,5 nye kategori D-plasser i første disponeringsskriv for 2013, hvorav 9,5 for helårsaffekt for tidligere tildelte LeP-plasser og 10 som korrigeringstildeling fra UiO. De +9,5 er tildelt ILS og de +10 er fordelt på enhetene ihht felleskostnadsbrøken. Deretter mottok fakultetet nye 11 plasser i endelig disponering hvorav 1 var øremerket LeP og de øvrige fordelt ihht brøken. For denne reviderte modellen er deretter studieplasser justert mellom enhetene for å sikre at de øvrige modellkorrigeringene ikke gir noen refordelingseffekt i nivelleringsåret 2013. Dette innebærer en økning i studieplasser for ILS og iPED, og en reduksjon ved ISP (kun forskjyvning mellom inntektslinjer)</t>
  </si>
  <si>
    <t>LeP admin 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</si>
</sst>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#,##0.0"/>
    <numFmt numFmtId="166" formatCode="dd/mm/yyyy;@"/>
    <numFmt numFmtId="167" formatCode="[$-414]d/\ mmm\.\ yyyy;@"/>
    <numFmt numFmtId="168" formatCode="#,##0_ ;[Red]\-#,##0\ "/>
    <numFmt numFmtId="169" formatCode="#,##0.0_ ;[Red]\-#,##0.0\ "/>
    <numFmt numFmtId="170" formatCode="0.0\ %"/>
    <numFmt numFmtId="171" formatCode="#,##0.000_ ;[Red]\-#,##0.000\ 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Times"/>
      <family val="1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1"/>
      <name val="Tahoma"/>
      <charset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</borders>
  <cellStyleXfs count="37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0" borderId="6" applyNumberFormat="0" applyFill="0" applyAlignment="0" applyProtection="0"/>
    <xf numFmtId="0" fontId="11" fillId="21" borderId="2" applyNumberFormat="0" applyAlignment="0" applyProtection="0"/>
    <xf numFmtId="0" fontId="10" fillId="0" borderId="6" applyNumberFormat="0" applyFill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12" fillId="23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12" fillId="23" borderId="0" applyNumberFormat="0" applyBorder="0" applyAlignment="0" applyProtection="0"/>
    <xf numFmtId="0" fontId="18" fillId="20" borderId="8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0" borderId="8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22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32" borderId="0" applyNumberFormat="0" applyBorder="0" applyAlignment="0" applyProtection="0"/>
    <xf numFmtId="0" fontId="2" fillId="2" borderId="0" applyNumberFormat="0" applyBorder="0" applyAlignment="0" applyProtection="0"/>
    <xf numFmtId="0" fontId="20" fillId="36" borderId="0" applyNumberFormat="0" applyBorder="0" applyAlignment="0" applyProtection="0"/>
    <xf numFmtId="0" fontId="2" fillId="3" borderId="0" applyNumberFormat="0" applyBorder="0" applyAlignment="0" applyProtection="0"/>
    <xf numFmtId="0" fontId="20" fillId="40" borderId="0" applyNumberFormat="0" applyBorder="0" applyAlignment="0" applyProtection="0"/>
    <xf numFmtId="0" fontId="2" fillId="4" borderId="0" applyNumberFormat="0" applyBorder="0" applyAlignment="0" applyProtection="0"/>
    <xf numFmtId="0" fontId="20" fillId="44" borderId="0" applyNumberFormat="0" applyBorder="0" applyAlignment="0" applyProtection="0"/>
    <xf numFmtId="0" fontId="2" fillId="5" borderId="0" applyNumberFormat="0" applyBorder="0" applyAlignment="0" applyProtection="0"/>
    <xf numFmtId="0" fontId="20" fillId="48" borderId="0" applyNumberFormat="0" applyBorder="0" applyAlignment="0" applyProtection="0"/>
    <xf numFmtId="0" fontId="2" fillId="6" borderId="0" applyNumberFormat="0" applyBorder="0" applyAlignment="0" applyProtection="0"/>
    <xf numFmtId="0" fontId="20" fillId="52" borderId="0" applyNumberFormat="0" applyBorder="0" applyAlignment="0" applyProtection="0"/>
    <xf numFmtId="0" fontId="2" fillId="7" borderId="0" applyNumberFormat="0" applyBorder="0" applyAlignment="0" applyProtection="0"/>
    <xf numFmtId="0" fontId="20" fillId="33" borderId="0" applyNumberFormat="0" applyBorder="0" applyAlignment="0" applyProtection="0"/>
    <xf numFmtId="0" fontId="2" fillId="8" borderId="0" applyNumberFormat="0" applyBorder="0" applyAlignment="0" applyProtection="0"/>
    <xf numFmtId="0" fontId="20" fillId="37" borderId="0" applyNumberFormat="0" applyBorder="0" applyAlignment="0" applyProtection="0"/>
    <xf numFmtId="0" fontId="2" fillId="9" borderId="0" applyNumberFormat="0" applyBorder="0" applyAlignment="0" applyProtection="0"/>
    <xf numFmtId="0" fontId="20" fillId="41" borderId="0" applyNumberFormat="0" applyBorder="0" applyAlignment="0" applyProtection="0"/>
    <xf numFmtId="0" fontId="2" fillId="10" borderId="0" applyNumberFormat="0" applyBorder="0" applyAlignment="0" applyProtection="0"/>
    <xf numFmtId="0" fontId="20" fillId="45" borderId="0" applyNumberFormat="0" applyBorder="0" applyAlignment="0" applyProtection="0"/>
    <xf numFmtId="0" fontId="2" fillId="5" borderId="0" applyNumberFormat="0" applyBorder="0" applyAlignment="0" applyProtection="0"/>
    <xf numFmtId="0" fontId="20" fillId="49" borderId="0" applyNumberFormat="0" applyBorder="0" applyAlignment="0" applyProtection="0"/>
    <xf numFmtId="0" fontId="2" fillId="8" borderId="0" applyNumberFormat="0" applyBorder="0" applyAlignment="0" applyProtection="0"/>
    <xf numFmtId="0" fontId="20" fillId="53" borderId="0" applyNumberFormat="0" applyBorder="0" applyAlignment="0" applyProtection="0"/>
    <xf numFmtId="0" fontId="2" fillId="11" borderId="0" applyNumberFormat="0" applyBorder="0" applyAlignment="0" applyProtection="0"/>
    <xf numFmtId="0" fontId="36" fillId="34" borderId="0" applyNumberFormat="0" applyBorder="0" applyAlignment="0" applyProtection="0"/>
    <xf numFmtId="0" fontId="4" fillId="12" borderId="0" applyNumberFormat="0" applyBorder="0" applyAlignment="0" applyProtection="0"/>
    <xf numFmtId="0" fontId="36" fillId="38" borderId="0" applyNumberFormat="0" applyBorder="0" applyAlignment="0" applyProtection="0"/>
    <xf numFmtId="0" fontId="4" fillId="9" borderId="0" applyNumberFormat="0" applyBorder="0" applyAlignment="0" applyProtection="0"/>
    <xf numFmtId="0" fontId="36" fillId="42" borderId="0" applyNumberFormat="0" applyBorder="0" applyAlignment="0" applyProtection="0"/>
    <xf numFmtId="0" fontId="4" fillId="10" borderId="0" applyNumberFormat="0" applyBorder="0" applyAlignment="0" applyProtection="0"/>
    <xf numFmtId="0" fontId="36" fillId="46" borderId="0" applyNumberFormat="0" applyBorder="0" applyAlignment="0" applyProtection="0"/>
    <xf numFmtId="0" fontId="4" fillId="13" borderId="0" applyNumberFormat="0" applyBorder="0" applyAlignment="0" applyProtection="0"/>
    <xf numFmtId="0" fontId="36" fillId="50" borderId="0" applyNumberFormat="0" applyBorder="0" applyAlignment="0" applyProtection="0"/>
    <xf numFmtId="0" fontId="4" fillId="14" borderId="0" applyNumberFormat="0" applyBorder="0" applyAlignment="0" applyProtection="0"/>
    <xf numFmtId="0" fontId="36" fillId="54" borderId="0" applyNumberFormat="0" applyBorder="0" applyAlignment="0" applyProtection="0"/>
    <xf numFmtId="0" fontId="4" fillId="15" borderId="0" applyNumberFormat="0" applyBorder="0" applyAlignment="0" applyProtection="0"/>
    <xf numFmtId="0" fontId="36" fillId="31" borderId="0" applyNumberFormat="0" applyBorder="0" applyAlignment="0" applyProtection="0"/>
    <xf numFmtId="0" fontId="4" fillId="16" borderId="0" applyNumberFormat="0" applyBorder="0" applyAlignment="0" applyProtection="0"/>
    <xf numFmtId="0" fontId="36" fillId="35" borderId="0" applyNumberFormat="0" applyBorder="0" applyAlignment="0" applyProtection="0"/>
    <xf numFmtId="0" fontId="4" fillId="17" borderId="0" applyNumberFormat="0" applyBorder="0" applyAlignment="0" applyProtection="0"/>
    <xf numFmtId="0" fontId="36" fillId="39" borderId="0" applyNumberFormat="0" applyBorder="0" applyAlignment="0" applyProtection="0"/>
    <xf numFmtId="0" fontId="4" fillId="18" borderId="0" applyNumberFormat="0" applyBorder="0" applyAlignment="0" applyProtection="0"/>
    <xf numFmtId="0" fontId="36" fillId="43" borderId="0" applyNumberFormat="0" applyBorder="0" applyAlignment="0" applyProtection="0"/>
    <xf numFmtId="0" fontId="4" fillId="13" borderId="0" applyNumberFormat="0" applyBorder="0" applyAlignment="0" applyProtection="0"/>
    <xf numFmtId="0" fontId="36" fillId="47" borderId="0" applyNumberFormat="0" applyBorder="0" applyAlignment="0" applyProtection="0"/>
    <xf numFmtId="0" fontId="4" fillId="14" borderId="0" applyNumberFormat="0" applyBorder="0" applyAlignment="0" applyProtection="0"/>
    <xf numFmtId="0" fontId="36" fillId="51" borderId="0" applyNumberFormat="0" applyBorder="0" applyAlignment="0" applyProtection="0"/>
    <xf numFmtId="0" fontId="4" fillId="19" borderId="0" applyNumberFormat="0" applyBorder="0" applyAlignment="0" applyProtection="0"/>
    <xf numFmtId="0" fontId="26" fillId="25" borderId="0" applyNumberFormat="0" applyBorder="0" applyAlignment="0" applyProtection="0"/>
    <xf numFmtId="0" fontId="6" fillId="3" borderId="0" applyNumberFormat="0" applyBorder="0" applyAlignment="0" applyProtection="0"/>
    <xf numFmtId="0" fontId="30" fillId="28" borderId="13" applyNumberFormat="0" applyAlignment="0" applyProtection="0"/>
    <xf numFmtId="0" fontId="5" fillId="20" borderId="1" applyNumberFormat="0" applyAlignment="0" applyProtection="0"/>
    <xf numFmtId="0" fontId="32" fillId="29" borderId="16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10" applyNumberFormat="0" applyFill="0" applyAlignment="0" applyProtection="0"/>
    <xf numFmtId="0" fontId="13" fillId="0" borderId="3" applyNumberFormat="0" applyFill="0" applyAlignment="0" applyProtection="0"/>
    <xf numFmtId="0" fontId="23" fillId="0" borderId="11" applyNumberFormat="0" applyFill="0" applyAlignment="0" applyProtection="0"/>
    <xf numFmtId="0" fontId="14" fillId="0" borderId="4" applyNumberFormat="0" applyFill="0" applyAlignment="0" applyProtection="0"/>
    <xf numFmtId="0" fontId="24" fillId="0" borderId="12" applyNumberFormat="0" applyFill="0" applyAlignment="0" applyProtection="0"/>
    <xf numFmtId="0" fontId="15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27" borderId="13" applyNumberFormat="0" applyAlignment="0" applyProtection="0"/>
    <xf numFmtId="0" fontId="9" fillId="7" borderId="1" applyNumberFormat="0" applyAlignment="0" applyProtection="0"/>
    <xf numFmtId="0" fontId="31" fillId="0" borderId="15" applyNumberFormat="0" applyFill="0" applyAlignment="0" applyProtection="0"/>
    <xf numFmtId="0" fontId="10" fillId="0" borderId="6" applyNumberFormat="0" applyFill="0" applyAlignment="0" applyProtection="0"/>
    <xf numFmtId="0" fontId="27" fillId="26" borderId="0" applyNumberFormat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" fillId="22" borderId="7" applyNumberFormat="0" applyFont="0" applyAlignment="0" applyProtection="0"/>
    <xf numFmtId="0" fontId="20" fillId="30" borderId="17" applyNumberFormat="0" applyFont="0" applyAlignment="0" applyProtection="0"/>
    <xf numFmtId="0" fontId="20" fillId="30" borderId="17" applyNumberFormat="0" applyFont="0" applyAlignment="0" applyProtection="0"/>
    <xf numFmtId="0" fontId="29" fillId="28" borderId="14" applyNumberFormat="0" applyAlignment="0" applyProtection="0"/>
    <xf numFmtId="0" fontId="18" fillId="20" borderId="8" applyNumberFormat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1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" fillId="20" borderId="79" applyNumberFormat="0" applyAlignment="0" applyProtection="0"/>
    <xf numFmtId="0" fontId="5" fillId="20" borderId="79" applyNumberFormat="0" applyAlignment="0" applyProtection="0"/>
    <xf numFmtId="164" fontId="1" fillId="0" borderId="0" applyFont="0" applyFill="0" applyBorder="0" applyAlignment="0" applyProtection="0"/>
    <xf numFmtId="0" fontId="11" fillId="21" borderId="84" applyNumberFormat="0" applyAlignment="0" applyProtection="0"/>
    <xf numFmtId="0" fontId="9" fillId="7" borderId="79" applyNumberFormat="0" applyAlignment="0" applyProtection="0"/>
    <xf numFmtId="0" fontId="9" fillId="7" borderId="79" applyNumberFormat="0" applyAlignment="0" applyProtection="0"/>
    <xf numFmtId="0" fontId="1" fillId="22" borderId="80" applyNumberFormat="0" applyFont="0" applyAlignment="0" applyProtection="0"/>
    <xf numFmtId="0" fontId="1" fillId="22" borderId="80" applyNumberFormat="0" applyFont="0" applyAlignment="0" applyProtection="0"/>
    <xf numFmtId="0" fontId="1" fillId="22" borderId="80" applyNumberFormat="0" applyFont="0" applyAlignment="0" applyProtection="0"/>
    <xf numFmtId="0" fontId="1" fillId="22" borderId="80" applyNumberFormat="0" applyFont="0" applyAlignment="0" applyProtection="0"/>
    <xf numFmtId="0" fontId="2" fillId="22" borderId="80" applyNumberFormat="0" applyFont="0" applyAlignment="0" applyProtection="0"/>
    <xf numFmtId="0" fontId="2" fillId="22" borderId="80" applyNumberFormat="0" applyFont="0" applyAlignment="0" applyProtection="0"/>
    <xf numFmtId="0" fontId="2" fillId="22" borderId="80" applyNumberFormat="0" applyFont="0" applyAlignment="0" applyProtection="0"/>
    <xf numFmtId="0" fontId="2" fillId="22" borderId="80" applyNumberFormat="0" applyFont="0" applyAlignment="0" applyProtection="0"/>
    <xf numFmtId="0" fontId="18" fillId="20" borderId="81" applyNumberFormat="0" applyAlignment="0" applyProtection="0"/>
    <xf numFmtId="0" fontId="17" fillId="0" borderId="82" applyNumberFormat="0" applyFill="0" applyAlignment="0" applyProtection="0"/>
    <xf numFmtId="0" fontId="17" fillId="0" borderId="82" applyNumberFormat="0" applyFill="0" applyAlignment="0" applyProtection="0"/>
    <xf numFmtId="0" fontId="18" fillId="20" borderId="81" applyNumberFormat="0" applyAlignment="0" applyProtection="0"/>
    <xf numFmtId="0" fontId="2" fillId="22" borderId="80" applyNumberFormat="0" applyFont="0" applyAlignment="0" applyProtection="0"/>
    <xf numFmtId="0" fontId="11" fillId="21" borderId="84" applyNumberFormat="0" applyAlignment="0" applyProtection="0"/>
    <xf numFmtId="0" fontId="5" fillId="20" borderId="79" applyNumberFormat="0" applyAlignment="0" applyProtection="0"/>
    <xf numFmtId="0" fontId="11" fillId="21" borderId="84" applyNumberFormat="0" applyAlignment="0" applyProtection="0"/>
    <xf numFmtId="0" fontId="9" fillId="7" borderId="79" applyNumberFormat="0" applyAlignment="0" applyProtection="0"/>
    <xf numFmtId="0" fontId="2" fillId="22" borderId="80" applyNumberFormat="0" applyFont="0" applyAlignment="0" applyProtection="0"/>
    <xf numFmtId="0" fontId="18" fillId="20" borderId="81" applyNumberFormat="0" applyAlignment="0" applyProtection="0"/>
    <xf numFmtId="0" fontId="17" fillId="0" borderId="82" applyNumberFormat="0" applyFill="0" applyAlignment="0" applyProtection="0"/>
  </cellStyleXfs>
  <cellXfs count="307">
    <xf numFmtId="0" fontId="0" fillId="0" borderId="0" xfId="0"/>
    <xf numFmtId="0" fontId="37" fillId="0" borderId="0" xfId="0" applyFont="1"/>
    <xf numFmtId="0" fontId="37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168" fontId="0" fillId="56" borderId="23" xfId="0" applyNumberFormat="1" applyFill="1" applyBorder="1"/>
    <xf numFmtId="168" fontId="0" fillId="56" borderId="21" xfId="0" applyNumberFormat="1" applyFill="1" applyBorder="1"/>
    <xf numFmtId="168" fontId="0" fillId="56" borderId="25" xfId="0" applyNumberFormat="1" applyFill="1" applyBorder="1"/>
    <xf numFmtId="168" fontId="0" fillId="56" borderId="22" xfId="0" applyNumberFormat="1" applyFill="1" applyBorder="1"/>
    <xf numFmtId="168" fontId="0" fillId="56" borderId="20" xfId="0" applyNumberFormat="1" applyFill="1" applyBorder="1"/>
    <xf numFmtId="0" fontId="37" fillId="57" borderId="0" xfId="0" applyFont="1" applyFill="1" applyAlignment="1">
      <alignment horizontal="left" wrapText="1"/>
    </xf>
    <xf numFmtId="0" fontId="37" fillId="57" borderId="22" xfId="0" applyFont="1" applyFill="1" applyBorder="1" applyAlignment="1">
      <alignment horizontal="center" wrapText="1"/>
    </xf>
    <xf numFmtId="0" fontId="37" fillId="57" borderId="0" xfId="0" applyFont="1" applyFill="1" applyAlignment="1">
      <alignment horizontal="center" wrapText="1"/>
    </xf>
    <xf numFmtId="0" fontId="37" fillId="57" borderId="20" xfId="0" applyFont="1" applyFill="1" applyBorder="1" applyAlignment="1">
      <alignment horizontal="center" wrapText="1"/>
    </xf>
    <xf numFmtId="0" fontId="35" fillId="57" borderId="0" xfId="0" applyFont="1" applyFill="1" applyAlignment="1">
      <alignment horizontal="left"/>
    </xf>
    <xf numFmtId="169" fontId="0" fillId="57" borderId="23" xfId="0" applyNumberFormat="1" applyFill="1" applyBorder="1"/>
    <xf numFmtId="169" fontId="0" fillId="57" borderId="21" xfId="0" applyNumberFormat="1" applyFill="1" applyBorder="1"/>
    <xf numFmtId="169" fontId="0" fillId="57" borderId="25" xfId="0" applyNumberFormat="1" applyFill="1" applyBorder="1"/>
    <xf numFmtId="0" fontId="35" fillId="57" borderId="0" xfId="0" applyFont="1" applyFill="1" applyAlignment="1">
      <alignment horizontal="center"/>
    </xf>
    <xf numFmtId="169" fontId="0" fillId="57" borderId="22" xfId="0" applyNumberFormat="1" applyFill="1" applyBorder="1"/>
    <xf numFmtId="169" fontId="0" fillId="57" borderId="24" xfId="0" applyNumberFormat="1" applyFill="1" applyBorder="1"/>
    <xf numFmtId="168" fontId="0" fillId="57" borderId="20" xfId="0" applyNumberFormat="1" applyFill="1" applyBorder="1"/>
    <xf numFmtId="169" fontId="0" fillId="57" borderId="0" xfId="0" applyNumberFormat="1" applyFill="1" applyBorder="1"/>
    <xf numFmtId="169" fontId="0" fillId="57" borderId="20" xfId="0" applyNumberFormat="1" applyFill="1" applyBorder="1"/>
    <xf numFmtId="0" fontId="0" fillId="57" borderId="19" xfId="0" applyFill="1" applyBorder="1"/>
    <xf numFmtId="168" fontId="0" fillId="57" borderId="0" xfId="0" applyNumberFormat="1" applyFill="1" applyBorder="1"/>
    <xf numFmtId="0" fontId="37" fillId="56" borderId="26" xfId="0" applyFont="1" applyFill="1" applyBorder="1" applyAlignment="1">
      <alignment horizontal="left" wrapText="1"/>
    </xf>
    <xf numFmtId="0" fontId="37" fillId="56" borderId="26" xfId="0" applyFont="1" applyFill="1" applyBorder="1" applyAlignment="1">
      <alignment horizontal="center" wrapText="1"/>
    </xf>
    <xf numFmtId="0" fontId="37" fillId="56" borderId="27" xfId="0" applyFont="1" applyFill="1" applyBorder="1" applyAlignment="1">
      <alignment horizontal="center" wrapText="1"/>
    </xf>
    <xf numFmtId="0" fontId="37" fillId="56" borderId="28" xfId="0" applyFont="1" applyFill="1" applyBorder="1" applyAlignment="1">
      <alignment horizontal="center" wrapText="1"/>
    </xf>
    <xf numFmtId="0" fontId="37" fillId="56" borderId="29" xfId="0" applyFont="1" applyFill="1" applyBorder="1" applyAlignment="1">
      <alignment horizontal="center" wrapText="1"/>
    </xf>
    <xf numFmtId="0" fontId="35" fillId="56" borderId="22" xfId="0" applyFont="1" applyFill="1" applyBorder="1" applyAlignment="1">
      <alignment horizontal="left"/>
    </xf>
    <xf numFmtId="168" fontId="0" fillId="56" borderId="30" xfId="0" applyNumberFormat="1" applyFill="1" applyBorder="1"/>
    <xf numFmtId="0" fontId="35" fillId="56" borderId="22" xfId="0" applyFont="1" applyFill="1" applyBorder="1" applyAlignment="1">
      <alignment horizontal="center"/>
    </xf>
    <xf numFmtId="168" fontId="0" fillId="56" borderId="0" xfId="0" applyNumberFormat="1" applyFill="1" applyBorder="1"/>
    <xf numFmtId="168" fontId="0" fillId="56" borderId="31" xfId="0" applyNumberFormat="1" applyFill="1" applyBorder="1"/>
    <xf numFmtId="0" fontId="35" fillId="56" borderId="32" xfId="0" applyFont="1" applyFill="1" applyBorder="1" applyAlignment="1">
      <alignment horizontal="center"/>
    </xf>
    <xf numFmtId="168" fontId="0" fillId="56" borderId="32" xfId="0" applyNumberFormat="1" applyFill="1" applyBorder="1"/>
    <xf numFmtId="168" fontId="0" fillId="56" borderId="33" xfId="0" applyNumberFormat="1" applyFill="1" applyBorder="1"/>
    <xf numFmtId="168" fontId="0" fillId="56" borderId="34" xfId="0" applyNumberFormat="1" applyFill="1" applyBorder="1"/>
    <xf numFmtId="168" fontId="0" fillId="56" borderId="35" xfId="0" applyNumberFormat="1" applyFill="1" applyBorder="1"/>
    <xf numFmtId="0" fontId="42" fillId="0" borderId="0" xfId="0" applyFont="1"/>
    <xf numFmtId="0" fontId="42" fillId="0" borderId="0" xfId="0" applyFont="1" applyAlignment="1">
      <alignment horizontal="left"/>
    </xf>
    <xf numFmtId="0" fontId="43" fillId="57" borderId="0" xfId="0" applyFont="1" applyFill="1" applyAlignment="1">
      <alignment horizontal="center"/>
    </xf>
    <xf numFmtId="0" fontId="44" fillId="57" borderId="22" xfId="0" applyFont="1" applyFill="1" applyBorder="1" applyAlignment="1">
      <alignment horizontal="center" wrapText="1"/>
    </xf>
    <xf numFmtId="0" fontId="44" fillId="57" borderId="0" xfId="0" applyFont="1" applyFill="1" applyAlignment="1">
      <alignment horizontal="center" wrapText="1"/>
    </xf>
    <xf numFmtId="0" fontId="44" fillId="57" borderId="20" xfId="0" applyFont="1" applyFill="1" applyBorder="1" applyAlignment="1">
      <alignment horizontal="center" wrapText="1"/>
    </xf>
    <xf numFmtId="168" fontId="45" fillId="57" borderId="22" xfId="0" applyNumberFormat="1" applyFont="1" applyFill="1" applyBorder="1"/>
    <xf numFmtId="168" fontId="45" fillId="57" borderId="0" xfId="0" applyNumberFormat="1" applyFont="1" applyFill="1"/>
    <xf numFmtId="168" fontId="45" fillId="57" borderId="20" xfId="0" applyNumberFormat="1" applyFont="1" applyFill="1" applyBorder="1"/>
    <xf numFmtId="0" fontId="45" fillId="0" borderId="0" xfId="0" applyFont="1"/>
    <xf numFmtId="0" fontId="0" fillId="0" borderId="0" xfId="0" applyFont="1"/>
    <xf numFmtId="0" fontId="37" fillId="0" borderId="33" xfId="0" applyFont="1" applyBorder="1" applyAlignment="1">
      <alignment horizontal="center"/>
    </xf>
    <xf numFmtId="0" fontId="37" fillId="0" borderId="33" xfId="0" applyFont="1" applyBorder="1" applyAlignment="1">
      <alignment horizontal="center" wrapText="1"/>
    </xf>
    <xf numFmtId="0" fontId="37" fillId="0" borderId="36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170" fontId="0" fillId="0" borderId="39" xfId="348" applyNumberFormat="1" applyFont="1" applyBorder="1" applyAlignment="1">
      <alignment horizontal="right"/>
    </xf>
    <xf numFmtId="170" fontId="0" fillId="0" borderId="50" xfId="348" applyNumberFormat="1" applyFont="1" applyBorder="1" applyAlignment="1">
      <alignment horizontal="right"/>
    </xf>
    <xf numFmtId="170" fontId="0" fillId="0" borderId="42" xfId="348" applyNumberFormat="1" applyFont="1" applyBorder="1" applyAlignment="1">
      <alignment horizontal="right"/>
    </xf>
    <xf numFmtId="170" fontId="0" fillId="0" borderId="55" xfId="348" applyNumberFormat="1" applyFont="1" applyBorder="1" applyAlignment="1">
      <alignment horizontal="right"/>
    </xf>
    <xf numFmtId="0" fontId="0" fillId="0" borderId="61" xfId="0" applyBorder="1"/>
    <xf numFmtId="0" fontId="0" fillId="0" borderId="0" xfId="0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0" fontId="35" fillId="56" borderId="67" xfId="0" applyFont="1" applyFill="1" applyBorder="1" applyAlignment="1">
      <alignment horizontal="left"/>
    </xf>
    <xf numFmtId="169" fontId="0" fillId="57" borderId="68" xfId="0" applyNumberFormat="1" applyFill="1" applyBorder="1"/>
    <xf numFmtId="169" fontId="0" fillId="57" borderId="19" xfId="0" applyNumberFormat="1" applyFill="1" applyBorder="1"/>
    <xf numFmtId="169" fontId="0" fillId="57" borderId="69" xfId="0" applyNumberFormat="1" applyFill="1" applyBorder="1"/>
    <xf numFmtId="168" fontId="0" fillId="57" borderId="23" xfId="0" applyNumberFormat="1" applyFill="1" applyBorder="1"/>
    <xf numFmtId="168" fontId="0" fillId="57" borderId="21" xfId="0" applyNumberFormat="1" applyFill="1" applyBorder="1"/>
    <xf numFmtId="168" fontId="0" fillId="57" borderId="69" xfId="0" applyNumberFormat="1" applyFill="1" applyBorder="1"/>
    <xf numFmtId="168" fontId="0" fillId="57" borderId="22" xfId="0" applyNumberFormat="1" applyFill="1" applyBorder="1"/>
    <xf numFmtId="168" fontId="0" fillId="56" borderId="69" xfId="0" applyNumberFormat="1" applyFill="1" applyBorder="1"/>
    <xf numFmtId="0" fontId="35" fillId="57" borderId="0" xfId="0" applyFont="1" applyFill="1" applyAlignment="1">
      <alignment horizontal="right"/>
    </xf>
    <xf numFmtId="0" fontId="37" fillId="57" borderId="43" xfId="0" applyFont="1" applyFill="1" applyBorder="1" applyAlignment="1">
      <alignment horizontal="center" wrapText="1"/>
    </xf>
    <xf numFmtId="168" fontId="0" fillId="57" borderId="64" xfId="0" applyNumberFormat="1" applyFill="1" applyBorder="1"/>
    <xf numFmtId="0" fontId="37" fillId="57" borderId="47" xfId="0" applyFont="1" applyFill="1" applyBorder="1" applyAlignment="1">
      <alignment horizontal="center" wrapText="1"/>
    </xf>
    <xf numFmtId="0" fontId="37" fillId="57" borderId="46" xfId="0" applyFont="1" applyFill="1" applyBorder="1" applyAlignment="1">
      <alignment horizontal="center" wrapText="1"/>
    </xf>
    <xf numFmtId="0" fontId="37" fillId="57" borderId="71" xfId="0" applyFont="1" applyFill="1" applyBorder="1" applyAlignment="1">
      <alignment horizontal="center" wrapText="1"/>
    </xf>
    <xf numFmtId="0" fontId="0" fillId="57" borderId="44" xfId="0" applyFill="1" applyBorder="1"/>
    <xf numFmtId="0" fontId="37" fillId="57" borderId="64" xfId="0" applyFont="1" applyFill="1" applyBorder="1" applyAlignment="1">
      <alignment horizontal="center" wrapText="1"/>
    </xf>
    <xf numFmtId="0" fontId="37" fillId="57" borderId="70" xfId="0" applyFont="1" applyFill="1" applyBorder="1" applyAlignment="1">
      <alignment horizontal="center" vertical="top" wrapText="1"/>
    </xf>
    <xf numFmtId="0" fontId="37" fillId="57" borderId="70" xfId="0" applyFont="1" applyFill="1" applyBorder="1" applyAlignment="1">
      <alignment horizontal="center" wrapText="1"/>
    </xf>
    <xf numFmtId="168" fontId="0" fillId="57" borderId="46" xfId="0" applyNumberFormat="1" applyFill="1" applyBorder="1"/>
    <xf numFmtId="168" fontId="0" fillId="57" borderId="62" xfId="0" applyNumberFormat="1" applyFill="1" applyBorder="1"/>
    <xf numFmtId="170" fontId="0" fillId="57" borderId="62" xfId="348" applyNumberFormat="1" applyFont="1" applyFill="1" applyBorder="1" applyAlignment="1">
      <alignment horizontal="right"/>
    </xf>
    <xf numFmtId="0" fontId="35" fillId="57" borderId="44" xfId="0" applyFont="1" applyFill="1" applyBorder="1" applyAlignment="1">
      <alignment horizontal="center"/>
    </xf>
    <xf numFmtId="0" fontId="37" fillId="57" borderId="72" xfId="0" applyFont="1" applyFill="1" applyBorder="1" applyAlignment="1">
      <alignment horizontal="center" wrapText="1"/>
    </xf>
    <xf numFmtId="0" fontId="37" fillId="57" borderId="66" xfId="0" applyFont="1" applyFill="1" applyBorder="1" applyAlignment="1">
      <alignment horizontal="center" wrapText="1"/>
    </xf>
    <xf numFmtId="168" fontId="0" fillId="57" borderId="73" xfId="0" applyNumberFormat="1" applyFill="1" applyBorder="1"/>
    <xf numFmtId="168" fontId="0" fillId="57" borderId="63" xfId="0" applyNumberFormat="1" applyFill="1" applyBorder="1"/>
    <xf numFmtId="169" fontId="0" fillId="57" borderId="73" xfId="0" applyNumberFormat="1" applyFill="1" applyBorder="1"/>
    <xf numFmtId="169" fontId="0" fillId="57" borderId="64" xfId="0" applyNumberFormat="1" applyFill="1" applyBorder="1"/>
    <xf numFmtId="169" fontId="0" fillId="57" borderId="65" xfId="0" applyNumberFormat="1" applyFill="1" applyBorder="1"/>
    <xf numFmtId="3" fontId="0" fillId="57" borderId="74" xfId="0" applyNumberFormat="1" applyFill="1" applyBorder="1"/>
    <xf numFmtId="3" fontId="0" fillId="57" borderId="51" xfId="0" applyNumberFormat="1" applyFill="1" applyBorder="1"/>
    <xf numFmtId="3" fontId="0" fillId="57" borderId="52" xfId="0" applyNumberFormat="1" applyFill="1" applyBorder="1"/>
    <xf numFmtId="3" fontId="0" fillId="57" borderId="75" xfId="0" applyNumberFormat="1" applyFill="1" applyBorder="1"/>
    <xf numFmtId="3" fontId="0" fillId="57" borderId="76" xfId="0" applyNumberFormat="1" applyFill="1" applyBorder="1"/>
    <xf numFmtId="168" fontId="45" fillId="57" borderId="0" xfId="0" applyNumberFormat="1" applyFont="1" applyFill="1" applyBorder="1"/>
    <xf numFmtId="0" fontId="35" fillId="56" borderId="0" xfId="0" applyFont="1" applyFill="1" applyBorder="1" applyAlignment="1">
      <alignment horizontal="left"/>
    </xf>
    <xf numFmtId="0" fontId="0" fillId="0" borderId="0" xfId="0" applyFill="1"/>
    <xf numFmtId="0" fontId="35" fillId="0" borderId="0" xfId="0" applyFont="1" applyFill="1" applyAlignment="1">
      <alignment horizontal="center"/>
    </xf>
    <xf numFmtId="169" fontId="0" fillId="0" borderId="0" xfId="0" applyNumberFormat="1" applyFill="1" applyBorder="1"/>
    <xf numFmtId="169" fontId="0" fillId="0" borderId="0" xfId="0" applyNumberFormat="1" applyFill="1"/>
    <xf numFmtId="0" fontId="35" fillId="0" borderId="0" xfId="0" applyFont="1" applyFill="1" applyAlignment="1">
      <alignment horizontal="left"/>
    </xf>
    <xf numFmtId="0" fontId="35" fillId="56" borderId="35" xfId="0" applyFont="1" applyFill="1" applyBorder="1" applyAlignment="1">
      <alignment horizontal="left"/>
    </xf>
    <xf numFmtId="0" fontId="37" fillId="56" borderId="78" xfId="0" applyFont="1" applyFill="1" applyBorder="1" applyAlignment="1">
      <alignment horizontal="left" wrapText="1"/>
    </xf>
    <xf numFmtId="3" fontId="0" fillId="57" borderId="23" xfId="0" applyNumberFormat="1" applyFill="1" applyBorder="1"/>
    <xf numFmtId="3" fontId="0" fillId="57" borderId="21" xfId="0" applyNumberFormat="1" applyFill="1" applyBorder="1"/>
    <xf numFmtId="3" fontId="0" fillId="57" borderId="25" xfId="0" applyNumberFormat="1" applyFill="1" applyBorder="1"/>
    <xf numFmtId="3" fontId="0" fillId="57" borderId="22" xfId="0" applyNumberFormat="1" applyFill="1" applyBorder="1"/>
    <xf numFmtId="3" fontId="0" fillId="57" borderId="20" xfId="0" applyNumberFormat="1" applyFill="1" applyBorder="1"/>
    <xf numFmtId="3" fontId="0" fillId="57" borderId="0" xfId="0" applyNumberFormat="1" applyFill="1" applyBorder="1"/>
    <xf numFmtId="168" fontId="0" fillId="57" borderId="25" xfId="0" applyNumberFormat="1" applyFill="1" applyBorder="1"/>
    <xf numFmtId="0" fontId="43" fillId="57" borderId="0" xfId="0" applyFont="1" applyFill="1" applyAlignment="1">
      <alignment horizontal="left" indent="1"/>
    </xf>
    <xf numFmtId="3" fontId="45" fillId="57" borderId="0" xfId="0" applyNumberFormat="1" applyFont="1" applyFill="1" applyBorder="1"/>
    <xf numFmtId="3" fontId="45" fillId="57" borderId="20" xfId="0" applyNumberFormat="1" applyFont="1" applyFill="1" applyBorder="1"/>
    <xf numFmtId="3" fontId="45" fillId="57" borderId="83" xfId="0" applyNumberFormat="1" applyFont="1" applyFill="1" applyBorder="1"/>
    <xf numFmtId="9" fontId="0" fillId="57" borderId="86" xfId="348" applyFont="1" applyFill="1" applyBorder="1"/>
    <xf numFmtId="9" fontId="0" fillId="57" borderId="87" xfId="348" applyFont="1" applyFill="1" applyBorder="1"/>
    <xf numFmtId="3" fontId="0" fillId="58" borderId="21" xfId="0" applyNumberFormat="1" applyFill="1" applyBorder="1"/>
    <xf numFmtId="168" fontId="0" fillId="58" borderId="0" xfId="0" applyNumberFormat="1" applyFill="1" applyBorder="1"/>
    <xf numFmtId="3" fontId="0" fillId="58" borderId="0" xfId="0" applyNumberFormat="1" applyFill="1" applyBorder="1"/>
    <xf numFmtId="0" fontId="37" fillId="58" borderId="22" xfId="0" applyFont="1" applyFill="1" applyBorder="1" applyAlignment="1">
      <alignment horizontal="center" wrapText="1"/>
    </xf>
    <xf numFmtId="3" fontId="0" fillId="58" borderId="23" xfId="0" applyNumberFormat="1" applyFill="1" applyBorder="1"/>
    <xf numFmtId="3" fontId="0" fillId="58" borderId="24" xfId="0" applyNumberFormat="1" applyFill="1" applyBorder="1"/>
    <xf numFmtId="3" fontId="0" fillId="56" borderId="0" xfId="0" applyNumberFormat="1" applyFill="1" applyBorder="1"/>
    <xf numFmtId="3" fontId="37" fillId="57" borderId="20" xfId="0" applyNumberFormat="1" applyFont="1" applyFill="1" applyBorder="1" applyAlignment="1">
      <alignment horizontal="center" wrapText="1"/>
    </xf>
    <xf numFmtId="0" fontId="43" fillId="57" borderId="0" xfId="0" applyFont="1" applyFill="1" applyAlignment="1">
      <alignment horizontal="left"/>
    </xf>
    <xf numFmtId="3" fontId="45" fillId="57" borderId="22" xfId="0" applyNumberFormat="1" applyFont="1" applyFill="1" applyBorder="1"/>
    <xf numFmtId="3" fontId="45" fillId="57" borderId="19" xfId="0" applyNumberFormat="1" applyFont="1" applyFill="1" applyBorder="1"/>
    <xf numFmtId="3" fontId="0" fillId="56" borderId="25" xfId="0" applyNumberFormat="1" applyFill="1" applyBorder="1"/>
    <xf numFmtId="3" fontId="0" fillId="56" borderId="30" xfId="0" applyNumberFormat="1" applyFill="1" applyBorder="1"/>
    <xf numFmtId="3" fontId="37" fillId="57" borderId="22" xfId="0" applyNumberFormat="1" applyFont="1" applyFill="1" applyBorder="1" applyAlignment="1">
      <alignment horizontal="center" wrapText="1"/>
    </xf>
    <xf numFmtId="3" fontId="37" fillId="57" borderId="0" xfId="0" applyNumberFormat="1" applyFont="1" applyFill="1" applyAlignment="1">
      <alignment horizontal="center" wrapText="1"/>
    </xf>
    <xf numFmtId="0" fontId="35" fillId="57" borderId="0" xfId="0" applyFont="1" applyFill="1" applyAlignment="1">
      <alignment horizontal="left" wrapText="1" indent="1"/>
    </xf>
    <xf numFmtId="0" fontId="35" fillId="57" borderId="83" xfId="0" applyFont="1" applyFill="1" applyBorder="1" applyAlignment="1">
      <alignment horizontal="left"/>
    </xf>
    <xf numFmtId="0" fontId="37" fillId="58" borderId="20" xfId="0" applyFont="1" applyFill="1" applyBorder="1" applyAlignment="1">
      <alignment horizontal="center" wrapText="1"/>
    </xf>
    <xf numFmtId="0" fontId="37" fillId="58" borderId="0" xfId="0" applyFont="1" applyFill="1" applyAlignment="1">
      <alignment horizontal="center" wrapText="1"/>
    </xf>
    <xf numFmtId="3" fontId="0" fillId="58" borderId="88" xfId="0" applyNumberFormat="1" applyFill="1" applyBorder="1"/>
    <xf numFmtId="168" fontId="0" fillId="58" borderId="87" xfId="0" applyNumberFormat="1" applyFill="1" applyBorder="1"/>
    <xf numFmtId="3" fontId="0" fillId="58" borderId="22" xfId="0" applyNumberFormat="1" applyFill="1" applyBorder="1"/>
    <xf numFmtId="168" fontId="0" fillId="58" borderId="22" xfId="0" applyNumberFormat="1" applyFill="1" applyBorder="1"/>
    <xf numFmtId="3" fontId="0" fillId="0" borderId="0" xfId="0" applyNumberFormat="1"/>
    <xf numFmtId="3" fontId="0" fillId="57" borderId="85" xfId="0" applyNumberFormat="1" applyFill="1" applyBorder="1"/>
    <xf numFmtId="3" fontId="0" fillId="56" borderId="21" xfId="0" applyNumberFormat="1" applyFill="1" applyBorder="1"/>
    <xf numFmtId="3" fontId="0" fillId="56" borderId="23" xfId="0" applyNumberFormat="1" applyFill="1" applyBorder="1"/>
    <xf numFmtId="0" fontId="0" fillId="0" borderId="0" xfId="0"/>
    <xf numFmtId="0" fontId="37" fillId="0" borderId="0" xfId="0" applyFont="1"/>
    <xf numFmtId="0" fontId="37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7" fillId="57" borderId="0" xfId="0" applyFont="1" applyFill="1" applyAlignment="1">
      <alignment horizontal="left" wrapText="1"/>
    </xf>
    <xf numFmtId="0" fontId="37" fillId="57" borderId="22" xfId="0" applyFont="1" applyFill="1" applyBorder="1" applyAlignment="1">
      <alignment horizontal="center" wrapText="1"/>
    </xf>
    <xf numFmtId="0" fontId="37" fillId="57" borderId="0" xfId="0" applyFont="1" applyFill="1" applyAlignment="1">
      <alignment horizontal="center" wrapText="1"/>
    </xf>
    <xf numFmtId="0" fontId="37" fillId="57" borderId="20" xfId="0" applyFont="1" applyFill="1" applyBorder="1" applyAlignment="1">
      <alignment horizontal="center" wrapText="1"/>
    </xf>
    <xf numFmtId="0" fontId="35" fillId="57" borderId="0" xfId="0" applyFont="1" applyFill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left"/>
    </xf>
    <xf numFmtId="0" fontId="43" fillId="57" borderId="0" xfId="0" applyFont="1" applyFill="1" applyAlignment="1">
      <alignment horizontal="center"/>
    </xf>
    <xf numFmtId="0" fontId="44" fillId="57" borderId="22" xfId="0" applyFont="1" applyFill="1" applyBorder="1" applyAlignment="1">
      <alignment horizontal="center" wrapText="1"/>
    </xf>
    <xf numFmtId="0" fontId="44" fillId="57" borderId="0" xfId="0" applyFont="1" applyFill="1" applyAlignment="1">
      <alignment horizontal="center" wrapText="1"/>
    </xf>
    <xf numFmtId="0" fontId="44" fillId="57" borderId="20" xfId="0" applyFont="1" applyFill="1" applyBorder="1" applyAlignment="1">
      <alignment horizontal="center" wrapText="1"/>
    </xf>
    <xf numFmtId="168" fontId="45" fillId="57" borderId="22" xfId="0" applyNumberFormat="1" applyFont="1" applyFill="1" applyBorder="1"/>
    <xf numFmtId="168" fontId="45" fillId="57" borderId="0" xfId="0" applyNumberFormat="1" applyFont="1" applyFill="1"/>
    <xf numFmtId="168" fontId="45" fillId="57" borderId="20" xfId="0" applyNumberFormat="1" applyFont="1" applyFill="1" applyBorder="1"/>
    <xf numFmtId="168" fontId="45" fillId="57" borderId="0" xfId="0" applyNumberFormat="1" applyFont="1" applyFill="1" applyBorder="1"/>
    <xf numFmtId="0" fontId="35" fillId="56" borderId="0" xfId="0" applyFont="1" applyFill="1" applyBorder="1" applyAlignment="1">
      <alignment horizontal="left"/>
    </xf>
    <xf numFmtId="3" fontId="0" fillId="57" borderId="34" xfId="0" applyNumberFormat="1" applyFill="1" applyBorder="1"/>
    <xf numFmtId="3" fontId="0" fillId="57" borderId="33" xfId="0" applyNumberFormat="1" applyFill="1" applyBorder="1"/>
    <xf numFmtId="3" fontId="0" fillId="58" borderId="33" xfId="0" applyNumberFormat="1" applyFill="1" applyBorder="1"/>
    <xf numFmtId="3" fontId="0" fillId="57" borderId="32" xfId="0" applyNumberFormat="1" applyFill="1" applyBorder="1"/>
    <xf numFmtId="0" fontId="37" fillId="56" borderId="89" xfId="0" applyFont="1" applyFill="1" applyBorder="1" applyAlignment="1">
      <alignment horizontal="center" wrapText="1"/>
    </xf>
    <xf numFmtId="0" fontId="37" fillId="56" borderId="90" xfId="0" applyFont="1" applyFill="1" applyBorder="1" applyAlignment="1">
      <alignment horizontal="center" wrapText="1"/>
    </xf>
    <xf numFmtId="0" fontId="37" fillId="56" borderId="91" xfId="0" applyFont="1" applyFill="1" applyBorder="1" applyAlignment="1">
      <alignment horizontal="center" wrapText="1"/>
    </xf>
    <xf numFmtId="0" fontId="37" fillId="56" borderId="78" xfId="0" applyFont="1" applyFill="1" applyBorder="1" applyAlignment="1">
      <alignment horizontal="center" wrapText="1"/>
    </xf>
    <xf numFmtId="0" fontId="35" fillId="56" borderId="31" xfId="0" applyFont="1" applyFill="1" applyBorder="1" applyAlignment="1">
      <alignment horizontal="left" wrapText="1"/>
    </xf>
    <xf numFmtId="0" fontId="35" fillId="56" borderId="35" xfId="0" applyFont="1" applyFill="1" applyBorder="1" applyAlignment="1">
      <alignment horizontal="left" wrapText="1"/>
    </xf>
    <xf numFmtId="3" fontId="0" fillId="56" borderId="22" xfId="0" applyNumberFormat="1" applyFont="1" applyFill="1" applyBorder="1" applyAlignment="1">
      <alignment wrapText="1"/>
    </xf>
    <xf numFmtId="3" fontId="0" fillId="56" borderId="0" xfId="0" applyNumberFormat="1" applyFont="1" applyFill="1" applyBorder="1" applyAlignment="1">
      <alignment wrapText="1"/>
    </xf>
    <xf numFmtId="3" fontId="0" fillId="58" borderId="20" xfId="0" applyNumberFormat="1" applyFont="1" applyFill="1" applyBorder="1" applyAlignment="1">
      <alignment wrapText="1"/>
    </xf>
    <xf numFmtId="3" fontId="0" fillId="58" borderId="0" xfId="0" applyNumberFormat="1" applyFont="1" applyFill="1" applyBorder="1" applyAlignment="1">
      <alignment wrapText="1"/>
    </xf>
    <xf numFmtId="3" fontId="0" fillId="56" borderId="31" xfId="0" applyNumberFormat="1" applyFont="1" applyFill="1" applyBorder="1" applyAlignment="1">
      <alignment wrapText="1"/>
    </xf>
    <xf numFmtId="3" fontId="0" fillId="56" borderId="32" xfId="0" applyNumberFormat="1" applyFont="1" applyFill="1" applyBorder="1" applyAlignment="1">
      <alignment wrapText="1"/>
    </xf>
    <xf numFmtId="3" fontId="0" fillId="56" borderId="33" xfId="0" applyNumberFormat="1" applyFont="1" applyFill="1" applyBorder="1" applyAlignment="1">
      <alignment wrapText="1"/>
    </xf>
    <xf numFmtId="3" fontId="0" fillId="58" borderId="34" xfId="0" applyNumberFormat="1" applyFont="1" applyFill="1" applyBorder="1" applyAlignment="1">
      <alignment wrapText="1"/>
    </xf>
    <xf numFmtId="3" fontId="0" fillId="58" borderId="33" xfId="0" applyNumberFormat="1" applyFont="1" applyFill="1" applyBorder="1" applyAlignment="1">
      <alignment wrapText="1"/>
    </xf>
    <xf numFmtId="3" fontId="0" fillId="56" borderId="35" xfId="0" applyNumberFormat="1" applyFont="1" applyFill="1" applyBorder="1" applyAlignment="1">
      <alignment wrapText="1"/>
    </xf>
    <xf numFmtId="3" fontId="0" fillId="0" borderId="51" xfId="0" applyNumberFormat="1" applyBorder="1"/>
    <xf numFmtId="3" fontId="0" fillId="0" borderId="53" xfId="0" applyNumberFormat="1" applyBorder="1"/>
    <xf numFmtId="3" fontId="0" fillId="0" borderId="60" xfId="0" applyNumberFormat="1" applyBorder="1"/>
    <xf numFmtId="3" fontId="0" fillId="0" borderId="0" xfId="0" applyNumberFormat="1" applyBorder="1"/>
    <xf numFmtId="3" fontId="0" fillId="0" borderId="61" xfId="0" applyNumberFormat="1" applyBorder="1"/>
    <xf numFmtId="9" fontId="0" fillId="0" borderId="57" xfId="348" applyFont="1" applyBorder="1" applyAlignment="1">
      <alignment horizontal="right"/>
    </xf>
    <xf numFmtId="9" fontId="0" fillId="0" borderId="58" xfId="348" applyFont="1" applyBorder="1" applyAlignment="1">
      <alignment horizontal="right"/>
    </xf>
    <xf numFmtId="9" fontId="0" fillId="0" borderId="59" xfId="348" applyFont="1" applyBorder="1" applyAlignment="1">
      <alignment horizontal="right"/>
    </xf>
    <xf numFmtId="3" fontId="0" fillId="0" borderId="19" xfId="0" applyNumberFormat="1" applyBorder="1"/>
    <xf numFmtId="3" fontId="0" fillId="0" borderId="37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38" xfId="0" applyNumberFormat="1" applyBorder="1"/>
    <xf numFmtId="3" fontId="0" fillId="0" borderId="33" xfId="0" applyNumberFormat="1" applyBorder="1"/>
    <xf numFmtId="3" fontId="0" fillId="0" borderId="36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56" xfId="0" applyNumberFormat="1" applyBorder="1"/>
    <xf numFmtId="3" fontId="0" fillId="56" borderId="46" xfId="0" applyNumberFormat="1" applyFill="1" applyBorder="1"/>
    <xf numFmtId="3" fontId="0" fillId="56" borderId="47" xfId="0" applyNumberFormat="1" applyFill="1" applyBorder="1"/>
    <xf numFmtId="3" fontId="0" fillId="0" borderId="52" xfId="0" applyNumberFormat="1" applyBorder="1"/>
    <xf numFmtId="3" fontId="0" fillId="0" borderId="54" xfId="0" applyNumberFormat="1" applyBorder="1"/>
    <xf numFmtId="3" fontId="0" fillId="56" borderId="74" xfId="0" applyNumberFormat="1" applyFill="1" applyBorder="1"/>
    <xf numFmtId="3" fontId="0" fillId="56" borderId="51" xfId="0" applyNumberFormat="1" applyFill="1" applyBorder="1"/>
    <xf numFmtId="3" fontId="0" fillId="56" borderId="92" xfId="0" applyNumberFormat="1" applyFill="1" applyBorder="1"/>
    <xf numFmtId="3" fontId="0" fillId="58" borderId="51" xfId="0" applyNumberFormat="1" applyFill="1" applyBorder="1"/>
    <xf numFmtId="3" fontId="0" fillId="56" borderId="93" xfId="0" applyNumberFormat="1" applyFont="1" applyFill="1" applyBorder="1" applyAlignment="1">
      <alignment horizontal="right"/>
    </xf>
    <xf numFmtId="3" fontId="0" fillId="56" borderId="23" xfId="0" applyNumberFormat="1" applyFont="1" applyFill="1" applyBorder="1" applyAlignment="1">
      <alignment wrapText="1"/>
    </xf>
    <xf numFmtId="3" fontId="0" fillId="56" borderId="21" xfId="0" applyNumberFormat="1" applyFont="1" applyFill="1" applyBorder="1" applyAlignment="1">
      <alignment wrapText="1"/>
    </xf>
    <xf numFmtId="3" fontId="0" fillId="58" borderId="25" xfId="0" applyNumberFormat="1" applyFont="1" applyFill="1" applyBorder="1" applyAlignment="1">
      <alignment wrapText="1"/>
    </xf>
    <xf numFmtId="3" fontId="0" fillId="58" borderId="21" xfId="0" applyNumberFormat="1" applyFont="1" applyFill="1" applyBorder="1" applyAlignment="1">
      <alignment wrapText="1"/>
    </xf>
    <xf numFmtId="3" fontId="0" fillId="56" borderId="30" xfId="0" applyNumberFormat="1" applyFont="1" applyFill="1" applyBorder="1" applyAlignment="1">
      <alignment wrapText="1"/>
    </xf>
    <xf numFmtId="3" fontId="0" fillId="57" borderId="92" xfId="0" applyNumberFormat="1" applyFill="1" applyBorder="1"/>
    <xf numFmtId="165" fontId="0" fillId="58" borderId="20" xfId="0" applyNumberFormat="1" applyFill="1" applyBorder="1"/>
    <xf numFmtId="165" fontId="0" fillId="58" borderId="0" xfId="0" applyNumberFormat="1" applyFill="1" applyBorder="1"/>
    <xf numFmtId="165" fontId="0" fillId="57" borderId="22" xfId="0" applyNumberFormat="1" applyFill="1" applyBorder="1"/>
    <xf numFmtId="165" fontId="0" fillId="57" borderId="23" xfId="0" applyNumberFormat="1" applyFill="1" applyBorder="1"/>
    <xf numFmtId="165" fontId="0" fillId="57" borderId="21" xfId="0" applyNumberFormat="1" applyFill="1" applyBorder="1"/>
    <xf numFmtId="165" fontId="0" fillId="58" borderId="25" xfId="0" applyNumberFormat="1" applyFill="1" applyBorder="1"/>
    <xf numFmtId="165" fontId="0" fillId="58" borderId="21" xfId="0" applyNumberFormat="1" applyFill="1" applyBorder="1"/>
    <xf numFmtId="0" fontId="50" fillId="0" borderId="0" xfId="0" applyFont="1" applyAlignment="1">
      <alignment horizontal="left"/>
    </xf>
    <xf numFmtId="0" fontId="51" fillId="0" borderId="0" xfId="349" applyFont="1"/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/>
    <xf numFmtId="168" fontId="0" fillId="0" borderId="0" xfId="0" applyNumberFormat="1" applyFill="1" applyBorder="1"/>
    <xf numFmtId="170" fontId="0" fillId="0" borderId="0" xfId="348" applyNumberFormat="1" applyFont="1" applyFill="1" applyBorder="1" applyAlignment="1">
      <alignment horizontal="right"/>
    </xf>
    <xf numFmtId="0" fontId="0" fillId="0" borderId="0" xfId="0" applyFill="1" applyBorder="1"/>
    <xf numFmtId="0" fontId="38" fillId="0" borderId="0" xfId="0" applyFont="1" applyFill="1" applyBorder="1" applyAlignment="1">
      <alignment horizontal="center" textRotation="45" wrapText="1"/>
    </xf>
    <xf numFmtId="0" fontId="35" fillId="0" borderId="33" xfId="0" applyFont="1" applyBorder="1" applyAlignment="1">
      <alignment horizontal="center"/>
    </xf>
    <xf numFmtId="0" fontId="0" fillId="0" borderId="33" xfId="0" applyBorder="1"/>
    <xf numFmtId="3" fontId="0" fillId="55" borderId="38" xfId="0" applyNumberFormat="1" applyFill="1" applyBorder="1" applyProtection="1">
      <protection locked="0"/>
    </xf>
    <xf numFmtId="3" fontId="0" fillId="55" borderId="51" xfId="0" applyNumberFormat="1" applyFill="1" applyBorder="1" applyProtection="1">
      <protection locked="0"/>
    </xf>
    <xf numFmtId="3" fontId="0" fillId="55" borderId="52" xfId="0" applyNumberFormat="1" applyFill="1" applyBorder="1" applyProtection="1">
      <protection locked="0"/>
    </xf>
    <xf numFmtId="0" fontId="42" fillId="55" borderId="0" xfId="0" applyFont="1" applyFill="1" applyAlignment="1" applyProtection="1">
      <alignment horizontal="left"/>
      <protection locked="0"/>
    </xf>
    <xf numFmtId="168" fontId="0" fillId="55" borderId="19" xfId="0" applyNumberFormat="1" applyFill="1" applyBorder="1" applyProtection="1">
      <protection locked="0"/>
    </xf>
    <xf numFmtId="168" fontId="0" fillId="55" borderId="0" xfId="0" applyNumberFormat="1" applyFill="1" applyBorder="1" applyProtection="1">
      <protection locked="0"/>
    </xf>
    <xf numFmtId="168" fontId="0" fillId="55" borderId="20" xfId="0" applyNumberFormat="1" applyFill="1" applyBorder="1" applyProtection="1">
      <protection locked="0"/>
    </xf>
    <xf numFmtId="168" fontId="0" fillId="55" borderId="44" xfId="0" applyNumberFormat="1" applyFill="1" applyBorder="1" applyProtection="1">
      <protection locked="0"/>
    </xf>
    <xf numFmtId="168" fontId="0" fillId="55" borderId="43" xfId="0" applyNumberFormat="1" applyFill="1" applyBorder="1" applyProtection="1">
      <protection locked="0"/>
    </xf>
    <xf numFmtId="168" fontId="0" fillId="55" borderId="66" xfId="0" applyNumberFormat="1" applyFill="1" applyBorder="1" applyProtection="1">
      <protection locked="0"/>
    </xf>
    <xf numFmtId="0" fontId="48" fillId="55" borderId="0" xfId="0" applyFont="1" applyFill="1" applyBorder="1" applyProtection="1">
      <protection locked="0"/>
    </xf>
    <xf numFmtId="9" fontId="48" fillId="55" borderId="20" xfId="0" applyNumberFormat="1" applyFont="1" applyFill="1" applyBorder="1" applyProtection="1">
      <protection locked="0"/>
    </xf>
    <xf numFmtId="169" fontId="0" fillId="55" borderId="22" xfId="0" applyNumberFormat="1" applyFill="1" applyBorder="1" applyProtection="1">
      <protection locked="0"/>
    </xf>
    <xf numFmtId="169" fontId="0" fillId="55" borderId="0" xfId="0" applyNumberFormat="1" applyFill="1" applyProtection="1">
      <protection locked="0"/>
    </xf>
    <xf numFmtId="168" fontId="45" fillId="55" borderId="22" xfId="0" applyNumberFormat="1" applyFont="1" applyFill="1" applyBorder="1" applyProtection="1">
      <protection locked="0"/>
    </xf>
    <xf numFmtId="168" fontId="45" fillId="55" borderId="0" xfId="0" applyNumberFormat="1" applyFont="1" applyFill="1" applyProtection="1">
      <protection locked="0"/>
    </xf>
    <xf numFmtId="168" fontId="45" fillId="55" borderId="20" xfId="0" applyNumberFormat="1" applyFont="1" applyFill="1" applyBorder="1" applyProtection="1">
      <protection locked="0"/>
    </xf>
    <xf numFmtId="168" fontId="0" fillId="55" borderId="22" xfId="0" applyNumberFormat="1" applyFill="1" applyBorder="1" applyProtection="1">
      <protection locked="0"/>
    </xf>
    <xf numFmtId="168" fontId="0" fillId="55" borderId="24" xfId="0" applyNumberFormat="1" applyFill="1" applyBorder="1" applyProtection="1">
      <protection locked="0"/>
    </xf>
    <xf numFmtId="168" fontId="0" fillId="55" borderId="68" xfId="0" applyNumberFormat="1" applyFill="1" applyBorder="1" applyProtection="1">
      <protection locked="0"/>
    </xf>
    <xf numFmtId="9" fontId="48" fillId="55" borderId="0" xfId="0" applyNumberFormat="1" applyFont="1" applyFill="1" applyBorder="1" applyProtection="1">
      <protection locked="0"/>
    </xf>
    <xf numFmtId="170" fontId="48" fillId="55" borderId="0" xfId="0" applyNumberFormat="1" applyFont="1" applyFill="1" applyBorder="1" applyProtection="1">
      <protection locked="0"/>
    </xf>
    <xf numFmtId="168" fontId="0" fillId="55" borderId="23" xfId="0" applyNumberFormat="1" applyFill="1" applyBorder="1" applyProtection="1">
      <protection locked="0"/>
    </xf>
    <xf numFmtId="168" fontId="0" fillId="55" borderId="21" xfId="0" applyNumberFormat="1" applyFill="1" applyBorder="1" applyProtection="1">
      <protection locked="0"/>
    </xf>
    <xf numFmtId="168" fontId="0" fillId="55" borderId="69" xfId="0" applyNumberFormat="1" applyFill="1" applyBorder="1" applyProtection="1">
      <protection locked="0"/>
    </xf>
    <xf numFmtId="169" fontId="0" fillId="55" borderId="24" xfId="0" applyNumberFormat="1" applyFill="1" applyBorder="1" applyProtection="1">
      <protection locked="0"/>
    </xf>
    <xf numFmtId="169" fontId="0" fillId="55" borderId="0" xfId="0" applyNumberFormat="1" applyFill="1" applyBorder="1" applyProtection="1">
      <protection locked="0"/>
    </xf>
    <xf numFmtId="169" fontId="0" fillId="55" borderId="68" xfId="0" applyNumberFormat="1" applyFill="1" applyBorder="1" applyProtection="1">
      <protection locked="0"/>
    </xf>
    <xf numFmtId="169" fontId="0" fillId="55" borderId="19" xfId="0" applyNumberFormat="1" applyFill="1" applyBorder="1" applyProtection="1">
      <protection locked="0"/>
    </xf>
    <xf numFmtId="171" fontId="0" fillId="55" borderId="0" xfId="0" applyNumberFormat="1" applyFill="1" applyBorder="1" applyProtection="1">
      <protection locked="0"/>
    </xf>
    <xf numFmtId="171" fontId="0" fillId="55" borderId="20" xfId="0" applyNumberFormat="1" applyFill="1" applyBorder="1" applyProtection="1">
      <protection locked="0"/>
    </xf>
    <xf numFmtId="171" fontId="0" fillId="55" borderId="43" xfId="0" applyNumberFormat="1" applyFill="1" applyBorder="1" applyProtection="1">
      <protection locked="0"/>
    </xf>
    <xf numFmtId="171" fontId="0" fillId="55" borderId="66" xfId="0" applyNumberFormat="1" applyFill="1" applyBorder="1" applyProtection="1">
      <protection locked="0"/>
    </xf>
    <xf numFmtId="171" fontId="0" fillId="55" borderId="19" xfId="0" applyNumberFormat="1" applyFill="1" applyBorder="1" applyProtection="1">
      <protection locked="0"/>
    </xf>
    <xf numFmtId="171" fontId="0" fillId="55" borderId="44" xfId="0" applyNumberFormat="1" applyFill="1" applyBorder="1" applyProtection="1">
      <protection locked="0"/>
    </xf>
    <xf numFmtId="168" fontId="0" fillId="55" borderId="74" xfId="0" applyNumberFormat="1" applyFill="1" applyBorder="1" applyProtection="1">
      <protection locked="0"/>
    </xf>
    <xf numFmtId="168" fontId="0" fillId="55" borderId="75" xfId="0" applyNumberFormat="1" applyFill="1" applyBorder="1" applyProtection="1">
      <protection locked="0"/>
    </xf>
    <xf numFmtId="3" fontId="0" fillId="55" borderId="76" xfId="0" applyNumberFormat="1" applyFill="1" applyBorder="1" applyProtection="1">
      <protection locked="0"/>
    </xf>
    <xf numFmtId="3" fontId="0" fillId="55" borderId="77" xfId="0" applyNumberFormat="1" applyFill="1" applyBorder="1" applyProtection="1">
      <protection locked="0"/>
    </xf>
    <xf numFmtId="3" fontId="0" fillId="55" borderId="74" xfId="0" applyNumberFormat="1" applyFill="1" applyBorder="1" applyProtection="1">
      <protection locked="0"/>
    </xf>
    <xf numFmtId="3" fontId="0" fillId="55" borderId="75" xfId="0" applyNumberFormat="1" applyFill="1" applyBorder="1" applyProtection="1">
      <protection locked="0"/>
    </xf>
    <xf numFmtId="0" fontId="0" fillId="55" borderId="0" xfId="0" applyFill="1" applyProtection="1">
      <protection locked="0"/>
    </xf>
    <xf numFmtId="0" fontId="35" fillId="55" borderId="0" xfId="0" applyFont="1" applyFill="1" applyAlignment="1" applyProtection="1">
      <alignment horizontal="left"/>
      <protection locked="0"/>
    </xf>
    <xf numFmtId="168" fontId="0" fillId="55" borderId="0" xfId="0" applyNumberFormat="1" applyFill="1" applyProtection="1">
      <protection locked="0"/>
    </xf>
    <xf numFmtId="0" fontId="35" fillId="55" borderId="83" xfId="0" applyFont="1" applyFill="1" applyBorder="1" applyAlignment="1" applyProtection="1">
      <alignment horizontal="left"/>
      <protection locked="0"/>
    </xf>
    <xf numFmtId="3" fontId="0" fillId="55" borderId="0" xfId="0" applyNumberFormat="1" applyFill="1" applyBorder="1" applyProtection="1">
      <protection locked="0"/>
    </xf>
    <xf numFmtId="3" fontId="0" fillId="55" borderId="22" xfId="0" applyNumberFormat="1" applyFill="1" applyBorder="1" applyProtection="1">
      <protection locked="0"/>
    </xf>
    <xf numFmtId="3" fontId="0" fillId="55" borderId="24" xfId="0" applyNumberFormat="1" applyFill="1" applyBorder="1" applyProtection="1">
      <protection locked="0"/>
    </xf>
    <xf numFmtId="0" fontId="35" fillId="55" borderId="0" xfId="0" applyFont="1" applyFill="1" applyAlignment="1" applyProtection="1">
      <alignment horizontal="center"/>
      <protection locked="0"/>
    </xf>
    <xf numFmtId="165" fontId="0" fillId="55" borderId="22" xfId="0" applyNumberFormat="1" applyFill="1" applyBorder="1" applyProtection="1">
      <protection locked="0"/>
    </xf>
    <xf numFmtId="165" fontId="0" fillId="55" borderId="0" xfId="0" applyNumberFormat="1" applyFill="1" applyBorder="1" applyProtection="1">
      <protection locked="0"/>
    </xf>
    <xf numFmtId="3" fontId="0" fillId="55" borderId="38" xfId="0" applyNumberFormat="1" applyFont="1" applyFill="1" applyBorder="1" applyProtection="1">
      <protection locked="0"/>
    </xf>
    <xf numFmtId="0" fontId="37" fillId="0" borderId="0" xfId="0" applyFont="1" applyAlignment="1">
      <alignment horizontal="left"/>
    </xf>
    <xf numFmtId="0" fontId="38" fillId="57" borderId="63" xfId="0" applyFont="1" applyFill="1" applyBorder="1" applyAlignment="1">
      <alignment horizontal="center" textRotation="45" wrapText="1"/>
    </xf>
    <xf numFmtId="0" fontId="38" fillId="57" borderId="44" xfId="0" applyFont="1" applyFill="1" applyBorder="1" applyAlignment="1">
      <alignment horizontal="center" textRotation="45" wrapText="1"/>
    </xf>
    <xf numFmtId="0" fontId="0" fillId="55" borderId="63" xfId="0" applyFill="1" applyBorder="1" applyAlignment="1" applyProtection="1">
      <alignment horizontal="left" vertical="top" wrapText="1"/>
      <protection locked="0"/>
    </xf>
    <xf numFmtId="0" fontId="0" fillId="55" borderId="64" xfId="0" applyFill="1" applyBorder="1" applyAlignment="1" applyProtection="1">
      <alignment horizontal="left" vertical="top" wrapText="1"/>
      <protection locked="0"/>
    </xf>
    <xf numFmtId="0" fontId="0" fillId="55" borderId="65" xfId="0" applyFill="1" applyBorder="1" applyAlignment="1" applyProtection="1">
      <alignment horizontal="left" vertical="top" wrapText="1"/>
      <protection locked="0"/>
    </xf>
    <xf numFmtId="0" fontId="0" fillId="55" borderId="19" xfId="0" applyFill="1" applyBorder="1" applyAlignment="1" applyProtection="1">
      <alignment horizontal="left" vertical="top" wrapText="1"/>
      <protection locked="0"/>
    </xf>
    <xf numFmtId="0" fontId="0" fillId="55" borderId="0" xfId="0" applyFill="1" applyBorder="1" applyAlignment="1" applyProtection="1">
      <alignment horizontal="left" vertical="top" wrapText="1"/>
      <protection locked="0"/>
    </xf>
    <xf numFmtId="0" fontId="0" fillId="55" borderId="20" xfId="0" applyFill="1" applyBorder="1" applyAlignment="1" applyProtection="1">
      <alignment horizontal="left" vertical="top" wrapText="1"/>
      <protection locked="0"/>
    </xf>
    <xf numFmtId="0" fontId="0" fillId="55" borderId="44" xfId="0" applyFill="1" applyBorder="1" applyAlignment="1" applyProtection="1">
      <alignment horizontal="left" vertical="top" wrapText="1"/>
      <protection locked="0"/>
    </xf>
    <xf numFmtId="0" fontId="0" fillId="55" borderId="43" xfId="0" applyFill="1" applyBorder="1" applyAlignment="1" applyProtection="1">
      <alignment horizontal="left" vertical="top" wrapText="1"/>
      <protection locked="0"/>
    </xf>
    <xf numFmtId="0" fontId="0" fillId="55" borderId="66" xfId="0" applyFill="1" applyBorder="1" applyAlignment="1" applyProtection="1">
      <alignment horizontal="left" vertical="top" wrapText="1"/>
      <protection locked="0"/>
    </xf>
  </cellXfs>
  <cellStyles count="376">
    <cellStyle name="20% - Accent1 2" xfId="3"/>
    <cellStyle name="20% - Accent1 3" xfId="4"/>
    <cellStyle name="20% - Accent1 4" xfId="5"/>
    <cellStyle name="20% - Accent1 5" xfId="2"/>
    <cellStyle name="20% - Accent1 6" xfId="177"/>
    <cellStyle name="20% - Accent1 7" xfId="178"/>
    <cellStyle name="20% - Accent2 2" xfId="7"/>
    <cellStyle name="20% - Accent2 3" xfId="8"/>
    <cellStyle name="20% - Accent2 4" xfId="9"/>
    <cellStyle name="20% - Accent2 5" xfId="6"/>
    <cellStyle name="20% - Accent2 6" xfId="179"/>
    <cellStyle name="20% - Accent2 7" xfId="180"/>
    <cellStyle name="20% - Accent3 2" xfId="11"/>
    <cellStyle name="20% - Accent3 3" xfId="12"/>
    <cellStyle name="20% - Accent3 4" xfId="13"/>
    <cellStyle name="20% - Accent3 5" xfId="10"/>
    <cellStyle name="20% - Accent3 6" xfId="181"/>
    <cellStyle name="20% - Accent3 7" xfId="182"/>
    <cellStyle name="20% - Accent4 2" xfId="15"/>
    <cellStyle name="20% - Accent4 3" xfId="16"/>
    <cellStyle name="20% - Accent4 4" xfId="17"/>
    <cellStyle name="20% - Accent4 5" xfId="14"/>
    <cellStyle name="20% - Accent4 6" xfId="183"/>
    <cellStyle name="20% - Accent4 7" xfId="184"/>
    <cellStyle name="20% - Accent5 2" xfId="19"/>
    <cellStyle name="20% - Accent5 3" xfId="20"/>
    <cellStyle name="20% - Accent5 4" xfId="21"/>
    <cellStyle name="20% - Accent5 5" xfId="18"/>
    <cellStyle name="20% - Accent5 6" xfId="185"/>
    <cellStyle name="20% - Accent5 7" xfId="186"/>
    <cellStyle name="20% - Accent6 2" xfId="23"/>
    <cellStyle name="20% - Accent6 3" xfId="24"/>
    <cellStyle name="20% - Accent6 4" xfId="25"/>
    <cellStyle name="20% - Accent6 5" xfId="22"/>
    <cellStyle name="20% - Accent6 6" xfId="187"/>
    <cellStyle name="20% - Accent6 7" xfId="188"/>
    <cellStyle name="20% - uthevingsfarge 1" xfId="26"/>
    <cellStyle name="20% - uthevingsfarge 1 2" xfId="27"/>
    <cellStyle name="20% - uthevingsfarge 1 3" xfId="28"/>
    <cellStyle name="20% - uthevingsfarge 1 4" xfId="29"/>
    <cellStyle name="20% - uthevingsfarge 2" xfId="30"/>
    <cellStyle name="20% - uthevingsfarge 2 2" xfId="31"/>
    <cellStyle name="20% - uthevingsfarge 2 3" xfId="32"/>
    <cellStyle name="20% - uthevingsfarge 2 4" xfId="33"/>
    <cellStyle name="20% - uthevingsfarge 3" xfId="34"/>
    <cellStyle name="20% - uthevingsfarge 3 2" xfId="35"/>
    <cellStyle name="20% - uthevingsfarge 3 3" xfId="36"/>
    <cellStyle name="20% - uthevingsfarge 3 4" xfId="37"/>
    <cellStyle name="20% - uthevingsfarge 4" xfId="38"/>
    <cellStyle name="20% - uthevingsfarge 4 2" xfId="39"/>
    <cellStyle name="20% - uthevingsfarge 4 3" xfId="40"/>
    <cellStyle name="20% - uthevingsfarge 4 4" xfId="41"/>
    <cellStyle name="20% - uthevingsfarge 5" xfId="42"/>
    <cellStyle name="20% - uthevingsfarge 5 2" xfId="43"/>
    <cellStyle name="20% - uthevingsfarge 5 3" xfId="44"/>
    <cellStyle name="20% - uthevingsfarge 5 4" xfId="45"/>
    <cellStyle name="20% - uthevingsfarge 6" xfId="46"/>
    <cellStyle name="20% - uthevingsfarge 6 2" xfId="47"/>
    <cellStyle name="20% - uthevingsfarge 6 3" xfId="48"/>
    <cellStyle name="20% - uthevingsfarge 6 4" xfId="49"/>
    <cellStyle name="40% - Accent1 2" xfId="51"/>
    <cellStyle name="40% - Accent1 3" xfId="52"/>
    <cellStyle name="40% - Accent1 4" xfId="53"/>
    <cellStyle name="40% - Accent1 5" xfId="50"/>
    <cellStyle name="40% - Accent1 6" xfId="189"/>
    <cellStyle name="40% - Accent1 7" xfId="190"/>
    <cellStyle name="40% - Accent2 2" xfId="55"/>
    <cellStyle name="40% - Accent2 3" xfId="56"/>
    <cellStyle name="40% - Accent2 4" xfId="57"/>
    <cellStyle name="40% - Accent2 5" xfId="54"/>
    <cellStyle name="40% - Accent2 6" xfId="191"/>
    <cellStyle name="40% - Accent2 7" xfId="192"/>
    <cellStyle name="40% - Accent3 2" xfId="59"/>
    <cellStyle name="40% - Accent3 3" xfId="60"/>
    <cellStyle name="40% - Accent3 4" xfId="61"/>
    <cellStyle name="40% - Accent3 5" xfId="58"/>
    <cellStyle name="40% - Accent3 6" xfId="193"/>
    <cellStyle name="40% - Accent3 7" xfId="194"/>
    <cellStyle name="40% - Accent4 2" xfId="63"/>
    <cellStyle name="40% - Accent4 3" xfId="64"/>
    <cellStyle name="40% - Accent4 4" xfId="65"/>
    <cellStyle name="40% - Accent4 5" xfId="62"/>
    <cellStyle name="40% - Accent4 6" xfId="195"/>
    <cellStyle name="40% - Accent4 7" xfId="196"/>
    <cellStyle name="40% - Accent5 2" xfId="67"/>
    <cellStyle name="40% - Accent5 3" xfId="68"/>
    <cellStyle name="40% - Accent5 4" xfId="69"/>
    <cellStyle name="40% - Accent5 5" xfId="66"/>
    <cellStyle name="40% - Accent5 6" xfId="197"/>
    <cellStyle name="40% - Accent5 7" xfId="198"/>
    <cellStyle name="40% - Accent6 2" xfId="71"/>
    <cellStyle name="40% - Accent6 3" xfId="72"/>
    <cellStyle name="40% - Accent6 4" xfId="73"/>
    <cellStyle name="40% - Accent6 5" xfId="70"/>
    <cellStyle name="40% - Accent6 6" xfId="199"/>
    <cellStyle name="40% - Accent6 7" xfId="200"/>
    <cellStyle name="40% - uthevingsfarge 1" xfId="74"/>
    <cellStyle name="40% - uthevingsfarge 1 2" xfId="75"/>
    <cellStyle name="40% - uthevingsfarge 1 3" xfId="76"/>
    <cellStyle name="40% - uthevingsfarge 1 4" xfId="77"/>
    <cellStyle name="40% - uthevingsfarge 2" xfId="78"/>
    <cellStyle name="40% - uthevingsfarge 2 2" xfId="79"/>
    <cellStyle name="40% - uthevingsfarge 2 3" xfId="80"/>
    <cellStyle name="40% - uthevingsfarge 2 4" xfId="81"/>
    <cellStyle name="40% - uthevingsfarge 3" xfId="82"/>
    <cellStyle name="40% - uthevingsfarge 3 2" xfId="83"/>
    <cellStyle name="40% - uthevingsfarge 3 3" xfId="84"/>
    <cellStyle name="40% - uthevingsfarge 3 4" xfId="85"/>
    <cellStyle name="40% - uthevingsfarge 4" xfId="86"/>
    <cellStyle name="40% - uthevingsfarge 4 2" xfId="87"/>
    <cellStyle name="40% - uthevingsfarge 4 3" xfId="88"/>
    <cellStyle name="40% - uthevingsfarge 4 4" xfId="89"/>
    <cellStyle name="40% - uthevingsfarge 5" xfId="90"/>
    <cellStyle name="40% - uthevingsfarge 5 2" xfId="91"/>
    <cellStyle name="40% - uthevingsfarge 5 3" xfId="92"/>
    <cellStyle name="40% - uthevingsfarge 5 4" xfId="93"/>
    <cellStyle name="40% - uthevingsfarge 6" xfId="94"/>
    <cellStyle name="40% - uthevingsfarge 6 2" xfId="95"/>
    <cellStyle name="40% - uthevingsfarge 6 3" xfId="96"/>
    <cellStyle name="40% - uthevingsfarge 6 4" xfId="97"/>
    <cellStyle name="60% - Accent1 2" xfId="98"/>
    <cellStyle name="60% - Accent1 3" xfId="201"/>
    <cellStyle name="60% - Accent1 4" xfId="202"/>
    <cellStyle name="60% - Accent2 2" xfId="99"/>
    <cellStyle name="60% - Accent2 3" xfId="203"/>
    <cellStyle name="60% - Accent2 4" xfId="204"/>
    <cellStyle name="60% - Accent3 2" xfId="100"/>
    <cellStyle name="60% - Accent3 3" xfId="205"/>
    <cellStyle name="60% - Accent3 4" xfId="206"/>
    <cellStyle name="60% - Accent4 2" xfId="101"/>
    <cellStyle name="60% - Accent4 3" xfId="207"/>
    <cellStyle name="60% - Accent4 4" xfId="208"/>
    <cellStyle name="60% - Accent5 2" xfId="102"/>
    <cellStyle name="60% - Accent5 3" xfId="209"/>
    <cellStyle name="60% - Accent5 4" xfId="210"/>
    <cellStyle name="60% - Accent6 2" xfId="103"/>
    <cellStyle name="60% - Accent6 3" xfId="211"/>
    <cellStyle name="60% - Accent6 4" xfId="212"/>
    <cellStyle name="60% - uthevingsfarge 1" xfId="104"/>
    <cellStyle name="60% - uthevingsfarge 2" xfId="105"/>
    <cellStyle name="60% - uthevingsfarge 3" xfId="106"/>
    <cellStyle name="60% - uthevingsfarge 4" xfId="107"/>
    <cellStyle name="60% - uthevingsfarge 5" xfId="108"/>
    <cellStyle name="60% - uthevingsfarge 6" xfId="109"/>
    <cellStyle name="Accent1 2" xfId="110"/>
    <cellStyle name="Accent1 3" xfId="213"/>
    <cellStyle name="Accent1 4" xfId="214"/>
    <cellStyle name="Accent2 2" xfId="111"/>
    <cellStyle name="Accent2 3" xfId="215"/>
    <cellStyle name="Accent2 4" xfId="216"/>
    <cellStyle name="Accent3 2" xfId="112"/>
    <cellStyle name="Accent3 3" xfId="217"/>
    <cellStyle name="Accent3 4" xfId="218"/>
    <cellStyle name="Accent4 2" xfId="113"/>
    <cellStyle name="Accent4 3" xfId="219"/>
    <cellStyle name="Accent4 4" xfId="220"/>
    <cellStyle name="Accent5 2" xfId="114"/>
    <cellStyle name="Accent5 3" xfId="221"/>
    <cellStyle name="Accent5 4" xfId="222"/>
    <cellStyle name="Accent6 2" xfId="115"/>
    <cellStyle name="Accent6 3" xfId="223"/>
    <cellStyle name="Accent6 4" xfId="224"/>
    <cellStyle name="Bad 2" xfId="116"/>
    <cellStyle name="Bad 3" xfId="225"/>
    <cellStyle name="Bad 4" xfId="226"/>
    <cellStyle name="Beregning" xfId="117"/>
    <cellStyle name="Beregning 2" xfId="350"/>
    <cellStyle name="Calculation 2" xfId="118"/>
    <cellStyle name="Calculation 2 2" xfId="351"/>
    <cellStyle name="Calculation 3" xfId="227"/>
    <cellStyle name="Calculation 4" xfId="228"/>
    <cellStyle name="Calculation 4 2" xfId="370"/>
    <cellStyle name="Check Cell 2" xfId="119"/>
    <cellStyle name="Check Cell 2 2" xfId="353"/>
    <cellStyle name="Check Cell 3" xfId="229"/>
    <cellStyle name="Check Cell 4" xfId="230"/>
    <cellStyle name="Check Cell 4 2" xfId="369"/>
    <cellStyle name="Comma 10" xfId="231"/>
    <cellStyle name="Comma 11" xfId="173"/>
    <cellStyle name="Comma 12" xfId="171"/>
    <cellStyle name="Comma 2" xfId="120"/>
    <cellStyle name="Comma 2 2" xfId="232"/>
    <cellStyle name="Comma 2 2 2" xfId="233"/>
    <cellStyle name="Comma 2 3" xfId="234"/>
    <cellStyle name="Comma 2 4" xfId="235"/>
    <cellStyle name="Comma 2 5" xfId="352"/>
    <cellStyle name="Comma 3" xfId="236"/>
    <cellStyle name="Comma 3 2" xfId="237"/>
    <cellStyle name="Comma 3 3" xfId="238"/>
    <cellStyle name="Comma 3 3 2" xfId="239"/>
    <cellStyle name="Comma 3 3 2 2" xfId="240"/>
    <cellStyle name="Comma 3 3 2 3" xfId="241"/>
    <cellStyle name="Comma 3 3 2 4" xfId="242"/>
    <cellStyle name="Comma 3 3 2 4 2" xfId="243"/>
    <cellStyle name="Comma 3 3 2 4 2 2" xfId="244"/>
    <cellStyle name="Comma 3 3 2 4 3" xfId="245"/>
    <cellStyle name="Comma 3 3 2 5" xfId="246"/>
    <cellStyle name="Comma 3 3 2 5 2" xfId="247"/>
    <cellStyle name="Comma 3 3 3" xfId="248"/>
    <cellStyle name="Comma 3 3 3 2" xfId="249"/>
    <cellStyle name="Comma 3 3 3 2 2" xfId="250"/>
    <cellStyle name="Comma 3 3 3 3" xfId="251"/>
    <cellStyle name="Comma 3 3 3 4" xfId="252"/>
    <cellStyle name="Comma 3 3 3 4 2" xfId="253"/>
    <cellStyle name="Comma 3 3 4" xfId="254"/>
    <cellStyle name="Comma 4" xfId="255"/>
    <cellStyle name="Comma 4 2" xfId="256"/>
    <cellStyle name="Comma 5" xfId="257"/>
    <cellStyle name="Comma 5 2" xfId="258"/>
    <cellStyle name="Comma 5 3" xfId="259"/>
    <cellStyle name="Comma 5 3 2" xfId="260"/>
    <cellStyle name="Comma 6" xfId="261"/>
    <cellStyle name="Comma 7" xfId="262"/>
    <cellStyle name="Comma 8" xfId="263"/>
    <cellStyle name="Comma 9" xfId="264"/>
    <cellStyle name="Dårlig" xfId="121"/>
    <cellStyle name="Explanatory Text 2" xfId="122"/>
    <cellStyle name="Explanatory Text 3" xfId="265"/>
    <cellStyle name="Explanatory Text 4" xfId="266"/>
    <cellStyle name="Forklarende tekst" xfId="123"/>
    <cellStyle name="God" xfId="124"/>
    <cellStyle name="Good 2" xfId="125"/>
    <cellStyle name="Good 3" xfId="267"/>
    <cellStyle name="Good 4" xfId="268"/>
    <cellStyle name="Heading 1 2" xfId="126"/>
    <cellStyle name="Heading 1 3" xfId="269"/>
    <cellStyle name="Heading 1 4" xfId="270"/>
    <cellStyle name="Heading 2 2" xfId="127"/>
    <cellStyle name="Heading 2 3" xfId="271"/>
    <cellStyle name="Heading 2 4" xfId="272"/>
    <cellStyle name="Heading 3 2" xfId="128"/>
    <cellStyle name="Heading 3 3" xfId="273"/>
    <cellStyle name="Heading 3 4" xfId="274"/>
    <cellStyle name="Heading 4 2" xfId="129"/>
    <cellStyle name="Heading 4 3" xfId="275"/>
    <cellStyle name="Heading 4 4" xfId="276"/>
    <cellStyle name="Hyperlink" xfId="349" builtinId="8"/>
    <cellStyle name="Hyperlink 2" xfId="277"/>
    <cellStyle name="Hyperlink 3" xfId="278"/>
    <cellStyle name="Inndata" xfId="130"/>
    <cellStyle name="Inndata 2" xfId="354"/>
    <cellStyle name="Input 2" xfId="131"/>
    <cellStyle name="Input 2 2" xfId="355"/>
    <cellStyle name="Input 3" xfId="279"/>
    <cellStyle name="Input 4" xfId="280"/>
    <cellStyle name="Input 4 2" xfId="372"/>
    <cellStyle name="Koblet celle" xfId="132"/>
    <cellStyle name="Kontrollcelle" xfId="133"/>
    <cellStyle name="Kontrollcelle 2" xfId="371"/>
    <cellStyle name="Linked Cell 2" xfId="134"/>
    <cellStyle name="Linked Cell 3" xfId="281"/>
    <cellStyle name="Linked Cell 4" xfId="282"/>
    <cellStyle name="Merknad" xfId="135"/>
    <cellStyle name="Merknad 2" xfId="136"/>
    <cellStyle name="Merknad 2 2" xfId="357"/>
    <cellStyle name="Merknad 3" xfId="137"/>
    <cellStyle name="Merknad 3 2" xfId="358"/>
    <cellStyle name="Merknad 4" xfId="138"/>
    <cellStyle name="Merknad 4 2" xfId="359"/>
    <cellStyle name="Merknad 5" xfId="356"/>
    <cellStyle name="Neutral 2" xfId="139"/>
    <cellStyle name="Neutral 3" xfId="283"/>
    <cellStyle name="Neutral 4" xfId="284"/>
    <cellStyle name="Normal" xfId="0" builtinId="0"/>
    <cellStyle name="Normal 10" xfId="170"/>
    <cellStyle name="Normal 2" xfId="140"/>
    <cellStyle name="Normal 2 2" xfId="141"/>
    <cellStyle name="Normal 2 2 2" xfId="142"/>
    <cellStyle name="Normal 2 2 2 2" xfId="285"/>
    <cellStyle name="Normal 2 2 2 3" xfId="169"/>
    <cellStyle name="Normal 2 2 3" xfId="143"/>
    <cellStyle name="Normal 2 2 4" xfId="144"/>
    <cellStyle name="Normal 2 2 5" xfId="286"/>
    <cellStyle name="Normal 2 2 6" xfId="287"/>
    <cellStyle name="Normal 3" xfId="1"/>
    <cellStyle name="Normal 3 10" xfId="288"/>
    <cellStyle name="Normal 3 11" xfId="289"/>
    <cellStyle name="Normal 3 12" xfId="290"/>
    <cellStyle name="Normal 3 2" xfId="291"/>
    <cellStyle name="Normal 3 3" xfId="292"/>
    <cellStyle name="Normal 3 4" xfId="293"/>
    <cellStyle name="Normal 3 5" xfId="294"/>
    <cellStyle name="Normal 3 6" xfId="295"/>
    <cellStyle name="Normal 3 7" xfId="296"/>
    <cellStyle name="Normal 3 8" xfId="297"/>
    <cellStyle name="Normal 3 9" xfId="298"/>
    <cellStyle name="Normal 4" xfId="299"/>
    <cellStyle name="Normal 4 2" xfId="300"/>
    <cellStyle name="Normal 4 3" xfId="301"/>
    <cellStyle name="Normal 4 4" xfId="302"/>
    <cellStyle name="Normal 4 5" xfId="303"/>
    <cellStyle name="Normal 4 6" xfId="304"/>
    <cellStyle name="Normal 4_Sheet1" xfId="305"/>
    <cellStyle name="Normal 5" xfId="306"/>
    <cellStyle name="Normal 5 2" xfId="307"/>
    <cellStyle name="Normal 5 3" xfId="308"/>
    <cellStyle name="Normal 6" xfId="309"/>
    <cellStyle name="Normal 6 2" xfId="310"/>
    <cellStyle name="Normal 6 3" xfId="311"/>
    <cellStyle name="Normal 6 3 2" xfId="312"/>
    <cellStyle name="Normal 6 3 2 2" xfId="313"/>
    <cellStyle name="Normal 6 3 3" xfId="314"/>
    <cellStyle name="Normal 6 3 4" xfId="315"/>
    <cellStyle name="Normal 6 3 4 2" xfId="316"/>
    <cellStyle name="Normal 6 4" xfId="317"/>
    <cellStyle name="Normal 6 5" xfId="318"/>
    <cellStyle name="Normal 6 5 2" xfId="319"/>
    <cellStyle name="Normal 6 5 2 2" xfId="320"/>
    <cellStyle name="Normal 6 5 3" xfId="321"/>
    <cellStyle name="Normal 6 6" xfId="322"/>
    <cellStyle name="Normal 6 6 2" xfId="323"/>
    <cellStyle name="Normal 7" xfId="324"/>
    <cellStyle name="Normal 8" xfId="325"/>
    <cellStyle name="Normal 8 2" xfId="176"/>
    <cellStyle name="Note 2" xfId="146"/>
    <cellStyle name="Note 2 2" xfId="361"/>
    <cellStyle name="Note 3" xfId="147"/>
    <cellStyle name="Note 3 2" xfId="326"/>
    <cellStyle name="Note 3 2 2" xfId="373"/>
    <cellStyle name="Note 3 3" xfId="327"/>
    <cellStyle name="Note 3 4" xfId="362"/>
    <cellStyle name="Note 4" xfId="148"/>
    <cellStyle name="Note 4 2" xfId="363"/>
    <cellStyle name="Note 5" xfId="145"/>
    <cellStyle name="Note 5 2" xfId="360"/>
    <cellStyle name="Note 6" xfId="328"/>
    <cellStyle name="Note 7" xfId="174"/>
    <cellStyle name="Note 7 2" xfId="368"/>
    <cellStyle name="Nøytral" xfId="149"/>
    <cellStyle name="Output 2" xfId="150"/>
    <cellStyle name="Output 2 2" xfId="364"/>
    <cellStyle name="Output 3" xfId="329"/>
    <cellStyle name="Output 4" xfId="330"/>
    <cellStyle name="Output 4 2" xfId="374"/>
    <cellStyle name="Overskrift 1" xfId="151"/>
    <cellStyle name="Overskrift 2" xfId="152"/>
    <cellStyle name="Overskrift 3" xfId="153"/>
    <cellStyle name="Overskrift 4" xfId="154"/>
    <cellStyle name="Percent" xfId="348" builtinId="5"/>
    <cellStyle name="Percent 2" xfId="155"/>
    <cellStyle name="Percent 2 2" xfId="172"/>
    <cellStyle name="Percent 2 3" xfId="331"/>
    <cellStyle name="Percent 3" xfId="332"/>
    <cellStyle name="Percent 3 2" xfId="333"/>
    <cellStyle name="Percent 4" xfId="334"/>
    <cellStyle name="Percent 5" xfId="335"/>
    <cellStyle name="Percent 6" xfId="336"/>
    <cellStyle name="Percent 7" xfId="337"/>
    <cellStyle name="Percent 8" xfId="175"/>
    <cellStyle name="Title 2" xfId="156"/>
    <cellStyle name="Title 3" xfId="338"/>
    <cellStyle name="Title 4" xfId="339"/>
    <cellStyle name="Tittel" xfId="157"/>
    <cellStyle name="Total 2" xfId="158"/>
    <cellStyle name="Total 2 2" xfId="365"/>
    <cellStyle name="Total 3" xfId="340"/>
    <cellStyle name="Total 4" xfId="341"/>
    <cellStyle name="Total 4 2" xfId="375"/>
    <cellStyle name="Totalt" xfId="159"/>
    <cellStyle name="Totalt 2" xfId="366"/>
    <cellStyle name="Tusenskille 4" xfId="342"/>
    <cellStyle name="Tusenskille 4 2" xfId="343"/>
    <cellStyle name="Tusenskille 5" xfId="344"/>
    <cellStyle name="Tusenskille 5 2" xfId="345"/>
    <cellStyle name="Utdata" xfId="160"/>
    <cellStyle name="Utdata 2" xfId="367"/>
    <cellStyle name="Uthevingsfarge1" xfId="161"/>
    <cellStyle name="Uthevingsfarge2" xfId="162"/>
    <cellStyle name="Uthevingsfarge3" xfId="163"/>
    <cellStyle name="Uthevingsfarge4" xfId="164"/>
    <cellStyle name="Uthevingsfarge5" xfId="165"/>
    <cellStyle name="Uthevingsfarge6" xfId="166"/>
    <cellStyle name="Varseltekst" xfId="167"/>
    <cellStyle name="Warning Text 2" xfId="168"/>
    <cellStyle name="Warning Text 3" xfId="346"/>
    <cellStyle name="Warning Text 4" xfId="34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 totale studieplassinntekter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'1-Studieplasser'!$E$3:$I$3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'1-Studieplasser'!$E$4:$I$4</c:f>
              <c:numCache>
                <c:formatCode>#,##0_ ;[Red]\-#,##0\ </c:formatCode>
                <c:ptCount val="5"/>
                <c:pt idx="0">
                  <c:v>36373000</c:v>
                </c:pt>
                <c:pt idx="1">
                  <c:v>23782000</c:v>
                </c:pt>
                <c:pt idx="2">
                  <c:v>23102000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stipendiatinntekter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'5-Stipendiatstillinger'!$D$35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'5-Stipendiatstillinger'!$E$34:$I$34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'5-Stipendiatstillinger'!$E$35:$I$35</c:f>
              <c:numCache>
                <c:formatCode>#,##0_ ;[Red]\-#,##0\ </c:formatCode>
                <c:ptCount val="5"/>
                <c:pt idx="0">
                  <c:v>12376000</c:v>
                </c:pt>
                <c:pt idx="1">
                  <c:v>9464000</c:v>
                </c:pt>
                <c:pt idx="2">
                  <c:v>17472000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'5-Stipendiatstillinger'!$D$36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'5-Stipendiatstillinger'!$E$34:$I$34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'5-Stipendiatstillinger'!$E$36:$I$36</c:f>
              <c:numCache>
                <c:formatCode>#,##0_ ;[Red]\-#,##0\ </c:formatCode>
                <c:ptCount val="5"/>
                <c:pt idx="0">
                  <c:v>11952000</c:v>
                </c:pt>
                <c:pt idx="1">
                  <c:v>9711000</c:v>
                </c:pt>
                <c:pt idx="2">
                  <c:v>17181000</c:v>
                </c:pt>
                <c:pt idx="3">
                  <c:v>747000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38688"/>
        <c:axId val="84030592"/>
      </c:barChart>
      <c:catAx>
        <c:axId val="8393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autoZero"/>
        <c:auto val="1"/>
        <c:lblAlgn val="ctr"/>
        <c:lblOffset val="100"/>
        <c:noMultiLvlLbl val="0"/>
      </c:catAx>
      <c:valAx>
        <c:axId val="84030592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3938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</a:t>
            </a:r>
            <a:r>
              <a:rPr lang="nb-NO" sz="1600" baseline="0"/>
              <a:t> postdoc</a:t>
            </a:r>
            <a:r>
              <a:rPr lang="nb-NO" sz="1600"/>
              <a:t>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0">
                      <a:solidFill>
                        <a:schemeClr val="bg1"/>
                      </a:solidFill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'6-Postdocstillinger'!$E$3:$I$3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'6-Postdocstillinger'!$E$4:$I$4</c:f>
              <c:numCache>
                <c:formatCode>#,##0_ ;[Red]\-#,##0\ </c:formatCode>
                <c:ptCount val="5"/>
                <c:pt idx="0">
                  <c:v>3076500</c:v>
                </c:pt>
                <c:pt idx="1">
                  <c:v>1758000</c:v>
                </c:pt>
                <c:pt idx="2">
                  <c:v>3516000</c:v>
                </c:pt>
                <c:pt idx="3">
                  <c:v>439500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postdocinntekter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'6-Postdocstillinger'!$D$35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'6-Postdocstillinger'!$E$34:$I$34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'6-Postdocstillinger'!$E$35:$I$35</c:f>
              <c:numCache>
                <c:formatCode>#,##0_ ;[Red]\-#,##0\ </c:formatCode>
                <c:ptCount val="5"/>
                <c:pt idx="0">
                  <c:v>2571000</c:v>
                </c:pt>
                <c:pt idx="1">
                  <c:v>1714000</c:v>
                </c:pt>
                <c:pt idx="2">
                  <c:v>3428000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'6-Postdocstillinger'!$D$36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'6-Postdocstillinger'!$E$34:$I$34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'6-Postdocstillinger'!$E$36:$I$36</c:f>
              <c:numCache>
                <c:formatCode>#,##0_ ;[Red]\-#,##0\ </c:formatCode>
                <c:ptCount val="5"/>
                <c:pt idx="0">
                  <c:v>3076500</c:v>
                </c:pt>
                <c:pt idx="1">
                  <c:v>1758000</c:v>
                </c:pt>
                <c:pt idx="2">
                  <c:v>3516000</c:v>
                </c:pt>
                <c:pt idx="3">
                  <c:v>439500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80896"/>
        <c:axId val="84213760"/>
      </c:barChart>
      <c:catAx>
        <c:axId val="8408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213760"/>
        <c:crosses val="autoZero"/>
        <c:auto val="1"/>
        <c:lblAlgn val="ctr"/>
        <c:lblOffset val="100"/>
        <c:noMultiLvlLbl val="0"/>
      </c:catAx>
      <c:valAx>
        <c:axId val="8421376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4080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</a:t>
            </a:r>
            <a:r>
              <a:rPr lang="nb-NO" sz="1600" baseline="0"/>
              <a:t> publikasjons</a:t>
            </a:r>
            <a:r>
              <a:rPr lang="nb-NO" sz="1600"/>
              <a:t>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0">
                      <a:solidFill>
                        <a:schemeClr val="bg1"/>
                      </a:solidFill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'7-Publikasjonspoeng'!$E$3:$I$3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'7-Publikasjonspoeng'!$E$4:$I$4</c:f>
              <c:numCache>
                <c:formatCode>#,##0_ ;[Red]\-#,##0\ </c:formatCode>
                <c:ptCount val="5"/>
                <c:pt idx="0">
                  <c:v>5799066.666666667</c:v>
                </c:pt>
                <c:pt idx="1">
                  <c:v>4305600</c:v>
                </c:pt>
                <c:pt idx="2">
                  <c:v>9736666.666666666</c:v>
                </c:pt>
                <c:pt idx="3">
                  <c:v>0</c:v>
                </c:pt>
                <c:pt idx="4">
                  <c:v>36800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publikasjonsinntekter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'7-Publikasjonspoeng'!$D$35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'7-Publikasjonspoeng'!$E$34:$I$34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'7-Publikasjonspoeng'!$E$35:$I$35</c:f>
              <c:numCache>
                <c:formatCode>#,##0_ ;[Red]\-#,##0\ </c:formatCode>
                <c:ptCount val="5"/>
                <c:pt idx="0">
                  <c:v>4443600</c:v>
                </c:pt>
                <c:pt idx="1">
                  <c:v>3686133</c:v>
                </c:pt>
                <c:pt idx="2">
                  <c:v>9295067</c:v>
                </c:pt>
                <c:pt idx="3">
                  <c:v>0</c:v>
                </c:pt>
                <c:pt idx="4">
                  <c:v>180933</c:v>
                </c:pt>
              </c:numCache>
            </c:numRef>
          </c:val>
        </c:ser>
        <c:ser>
          <c:idx val="0"/>
          <c:order val="1"/>
          <c:tx>
            <c:strRef>
              <c:f>'7-Publikasjonspoeng'!$D$36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'7-Publikasjonspoeng'!$E$34:$I$34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'7-Publikasjonspoeng'!$E$36:$I$36</c:f>
              <c:numCache>
                <c:formatCode>#,##0_ ;[Red]\-#,##0\ </c:formatCode>
                <c:ptCount val="5"/>
                <c:pt idx="0">
                  <c:v>5799066.666666667</c:v>
                </c:pt>
                <c:pt idx="1">
                  <c:v>4305600</c:v>
                </c:pt>
                <c:pt idx="2">
                  <c:v>9736666.666666666</c:v>
                </c:pt>
                <c:pt idx="3">
                  <c:v>0</c:v>
                </c:pt>
                <c:pt idx="4">
                  <c:v>36800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25504"/>
        <c:axId val="84327040"/>
      </c:barChart>
      <c:catAx>
        <c:axId val="8432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27040"/>
        <c:crosses val="autoZero"/>
        <c:auto val="1"/>
        <c:lblAlgn val="ctr"/>
        <c:lblOffset val="100"/>
        <c:noMultiLvlLbl val="0"/>
      </c:catAx>
      <c:valAx>
        <c:axId val="8432704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4325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 EU-inntekter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'8-EFV'!$E$3:$I$3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'8-EFV'!$E$5:$I$5</c:f>
              <c:numCache>
                <c:formatCode>#,##0_ ;[Red]\-#,##0\ </c:formatCode>
                <c:ptCount val="5"/>
                <c:pt idx="0">
                  <c:v>1913728.5119999999</c:v>
                </c:pt>
                <c:pt idx="1">
                  <c:v>0</c:v>
                </c:pt>
                <c:pt idx="2">
                  <c:v>1574155.7760000001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EFV-inntekter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'8-EFV'!$D$48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'8-EFV'!$E$47:$I$47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'8-EFV'!$E$48:$I$48</c:f>
              <c:numCache>
                <c:formatCode>#,##0_ ;[Red]\-#,##0\ </c:formatCode>
                <c:ptCount val="5"/>
                <c:pt idx="0">
                  <c:v>1609533</c:v>
                </c:pt>
                <c:pt idx="1">
                  <c:v>206057</c:v>
                </c:pt>
                <c:pt idx="2">
                  <c:v>3552714</c:v>
                </c:pt>
                <c:pt idx="3">
                  <c:v>0</c:v>
                </c:pt>
                <c:pt idx="4">
                  <c:v>274826</c:v>
                </c:pt>
              </c:numCache>
            </c:numRef>
          </c:val>
        </c:ser>
        <c:ser>
          <c:idx val="0"/>
          <c:order val="1"/>
          <c:tx>
            <c:strRef>
              <c:f>'8-EFV'!$D$49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'8-EFV'!$E$47:$I$47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'8-EFV'!$E$49:$I$49</c:f>
              <c:numCache>
                <c:formatCode>#,##0_ ;[Red]\-#,##0\ </c:formatCode>
                <c:ptCount val="5"/>
                <c:pt idx="0">
                  <c:v>1932824.5119999999</c:v>
                </c:pt>
                <c:pt idx="1">
                  <c:v>263558.56800000003</c:v>
                </c:pt>
                <c:pt idx="2">
                  <c:v>2387867.92</c:v>
                </c:pt>
                <c:pt idx="3">
                  <c:v>0</c:v>
                </c:pt>
                <c:pt idx="4">
                  <c:v>352248.73600000003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98848"/>
        <c:axId val="84804736"/>
      </c:barChart>
      <c:catAx>
        <c:axId val="84798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04736"/>
        <c:crosses val="autoZero"/>
        <c:auto val="1"/>
        <c:lblAlgn val="ctr"/>
        <c:lblOffset val="100"/>
        <c:noMultiLvlLbl val="0"/>
      </c:catAx>
      <c:valAx>
        <c:axId val="84804736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47988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 NFR-inntekter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'8-EFV'!$E$3:$I$3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'8-EFV'!$E$6:$I$6</c:f>
              <c:numCache>
                <c:formatCode>#,##0_ ;[Red]\-#,##0\ </c:formatCode>
                <c:ptCount val="5"/>
                <c:pt idx="0">
                  <c:v>19096.000000000004</c:v>
                </c:pt>
                <c:pt idx="1">
                  <c:v>263558.56800000003</c:v>
                </c:pt>
                <c:pt idx="2">
                  <c:v>813712.14400000009</c:v>
                </c:pt>
                <c:pt idx="3">
                  <c:v>0</c:v>
                </c:pt>
                <c:pt idx="4">
                  <c:v>352248.73600000003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 øremerkinger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'9-Satsinger'!$E$3:$I$3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'9-Satsinger'!$E$4:$I$4</c:f>
              <c:numCache>
                <c:formatCode>#,##0</c:formatCode>
                <c:ptCount val="5"/>
                <c:pt idx="0">
                  <c:v>2250000</c:v>
                </c:pt>
                <c:pt idx="1">
                  <c:v>0</c:v>
                </c:pt>
                <c:pt idx="2">
                  <c:v>11453785</c:v>
                </c:pt>
                <c:pt idx="3">
                  <c:v>430000</c:v>
                </c:pt>
                <c:pt idx="4">
                  <c:v>5925000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Varige</a:t>
            </a:r>
            <a:r>
              <a:rPr lang="nb-NO" sz="1600" baseline="0"/>
              <a:t> og midlertidige</a:t>
            </a:r>
            <a:r>
              <a:rPr lang="nb-NO" sz="1600"/>
              <a:t> øremerkinger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09072977807323"/>
          <c:y val="0.16217515417224554"/>
          <c:w val="0.75303428593271426"/>
          <c:h val="0.643222337160285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'9-Satsinger'!$D$62</c:f>
              <c:strCache>
                <c:ptCount val="1"/>
                <c:pt idx="0">
                  <c:v>Varig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'9-Satsinger'!$E$61:$I$61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'9-Satsinger'!$E$62:$I$62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919882</c:v>
                </c:pt>
                <c:pt idx="3">
                  <c:v>0</c:v>
                </c:pt>
                <c:pt idx="4">
                  <c:v>400000</c:v>
                </c:pt>
              </c:numCache>
            </c:numRef>
          </c:val>
        </c:ser>
        <c:ser>
          <c:idx val="0"/>
          <c:order val="1"/>
          <c:tx>
            <c:strRef>
              <c:f>'9-Satsinger'!$D$63</c:f>
              <c:strCache>
                <c:ptCount val="1"/>
                <c:pt idx="0">
                  <c:v>Midlertidig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'9-Satsinger'!$E$61:$I$61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'9-Satsinger'!$E$63:$I$63</c:f>
              <c:numCache>
                <c:formatCode>#,##0_ ;[Red]\-#,##0\ </c:formatCode>
                <c:ptCount val="5"/>
                <c:pt idx="0">
                  <c:v>2250000</c:v>
                </c:pt>
                <c:pt idx="1">
                  <c:v>0</c:v>
                </c:pt>
                <c:pt idx="2">
                  <c:v>7769669</c:v>
                </c:pt>
                <c:pt idx="3">
                  <c:v>430000</c:v>
                </c:pt>
                <c:pt idx="4">
                  <c:v>5525000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86336"/>
        <c:axId val="84687872"/>
      </c:barChart>
      <c:catAx>
        <c:axId val="8468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87872"/>
        <c:crosses val="autoZero"/>
        <c:auto val="1"/>
        <c:lblAlgn val="ctr"/>
        <c:lblOffset val="100"/>
        <c:noMultiLvlLbl val="0"/>
      </c:catAx>
      <c:valAx>
        <c:axId val="84687872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4686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studieplassinntekter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'1-Studieplasser'!$D$57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'1-Studieplasser'!$E$56:$I$56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'1-Studieplasser'!$E$57:$I$57</c:f>
              <c:numCache>
                <c:formatCode>#,##0_ ;[Red]\-#,##0\ </c:formatCode>
                <c:ptCount val="5"/>
                <c:pt idx="0">
                  <c:v>30583000</c:v>
                </c:pt>
                <c:pt idx="1">
                  <c:v>24452000</c:v>
                </c:pt>
                <c:pt idx="2">
                  <c:v>24856000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'1-Studieplasser'!$D$58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'1-Studieplasser'!$E$56:$I$56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'1-Studieplasser'!$E$58:$I$58</c:f>
              <c:numCache>
                <c:formatCode>#,##0_ ;[Red]\-#,##0\ </c:formatCode>
                <c:ptCount val="5"/>
                <c:pt idx="0">
                  <c:v>36373000</c:v>
                </c:pt>
                <c:pt idx="1">
                  <c:v>23782000</c:v>
                </c:pt>
                <c:pt idx="2">
                  <c:v>23102000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87264"/>
        <c:axId val="80988800"/>
      </c:barChart>
      <c:catAx>
        <c:axId val="80987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0988800"/>
        <c:crosses val="autoZero"/>
        <c:auto val="1"/>
        <c:lblAlgn val="ctr"/>
        <c:lblOffset val="100"/>
        <c:noMultiLvlLbl val="0"/>
      </c:catAx>
      <c:valAx>
        <c:axId val="8098880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0987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øremerkinger fra i fjor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09072977807323"/>
          <c:y val="0.16217515417224554"/>
          <c:w val="0.75303428593271426"/>
          <c:h val="0.697190755277551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'9-Satsinger'!$D$58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'9-Satsinger'!$E$57:$I$57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'9-Satsinger'!$E$58:$I$58</c:f>
              <c:numCache>
                <c:formatCode>#,##0_ ;[Red]\-#,##0\ </c:formatCode>
                <c:ptCount val="5"/>
                <c:pt idx="0">
                  <c:v>5027000</c:v>
                </c:pt>
                <c:pt idx="1">
                  <c:v>0</c:v>
                </c:pt>
                <c:pt idx="2">
                  <c:v>16156547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'9-Satsinger'!$D$59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'9-Satsinger'!$E$57:$I$57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'9-Satsinger'!$E$59:$I$59</c:f>
              <c:numCache>
                <c:formatCode>#,##0_ ;[Red]\-#,##0\ </c:formatCode>
                <c:ptCount val="5"/>
                <c:pt idx="0">
                  <c:v>2250000</c:v>
                </c:pt>
                <c:pt idx="1">
                  <c:v>0</c:v>
                </c:pt>
                <c:pt idx="2">
                  <c:v>11453785</c:v>
                </c:pt>
                <c:pt idx="3">
                  <c:v>430000</c:v>
                </c:pt>
                <c:pt idx="4">
                  <c:v>5925000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21664"/>
        <c:axId val="84723200"/>
      </c:barChart>
      <c:catAx>
        <c:axId val="8472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23200"/>
        <c:crosses val="autoZero"/>
        <c:auto val="1"/>
        <c:lblAlgn val="ctr"/>
        <c:lblOffset val="100"/>
        <c:noMultiLvlLbl val="0"/>
      </c:catAx>
      <c:valAx>
        <c:axId val="8472320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4721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 felleskostnader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'10-Annet'!$E$3:$H$3</c:f>
              <c:strCache>
                <c:ptCount val="4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</c:strCache>
            </c:strRef>
          </c:cat>
          <c:val>
            <c:numRef>
              <c:f>'10-Annet'!$E$5:$H$5</c:f>
              <c:numCache>
                <c:formatCode>#,##0</c:formatCode>
                <c:ptCount val="4"/>
                <c:pt idx="0">
                  <c:v>13743062.908484224</c:v>
                </c:pt>
                <c:pt idx="1">
                  <c:v>9474908.216561012</c:v>
                </c:pt>
                <c:pt idx="2">
                  <c:v>14093802.472288094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Strategiske- (STRAT) vs driftsmidler (FAKSEK)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09072977807323"/>
          <c:y val="0.16217515417224554"/>
          <c:w val="0.75303428593271426"/>
          <c:h val="0.64322233716028521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'10-Annet'!$J$18</c:f>
              <c:strCache>
                <c:ptCount val="1"/>
                <c:pt idx="0">
                  <c:v>STRAT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Lit>
              <c:ptCount val="1"/>
              <c:pt idx="0">
                <c:v>Andel</c:v>
              </c:pt>
            </c:strLit>
          </c:cat>
          <c:val>
            <c:numRef>
              <c:f>'10-Annet'!$J$20</c:f>
              <c:numCache>
                <c:formatCode>#,##0</c:formatCode>
                <c:ptCount val="1"/>
                <c:pt idx="0">
                  <c:v>9388784.5973333344</c:v>
                </c:pt>
              </c:numCache>
            </c:numRef>
          </c:val>
        </c:ser>
        <c:ser>
          <c:idx val="0"/>
          <c:order val="1"/>
          <c:tx>
            <c:strRef>
              <c:f>'10-Annet'!$L$18</c:f>
              <c:strCache>
                <c:ptCount val="1"/>
                <c:pt idx="0">
                  <c:v>FAKSEK</c:v>
                </c:pt>
              </c:strCache>
            </c:strRef>
          </c:tx>
          <c:invertIfNegative val="0"/>
          <c:cat>
            <c:strLit>
              <c:ptCount val="1"/>
              <c:pt idx="0">
                <c:v>Andel</c:v>
              </c:pt>
            </c:strLit>
          </c:cat>
          <c:val>
            <c:numRef>
              <c:f>'10-Annet'!$L$20</c:f>
              <c:numCache>
                <c:formatCode>#,##0</c:formatCode>
                <c:ptCount val="1"/>
                <c:pt idx="0">
                  <c:v>27922989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95712"/>
        <c:axId val="85426176"/>
      </c:barChart>
      <c:catAx>
        <c:axId val="8539571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426176"/>
        <c:crosses val="autoZero"/>
        <c:auto val="1"/>
        <c:lblAlgn val="ctr"/>
        <c:lblOffset val="100"/>
        <c:noMultiLvlLbl val="0"/>
      </c:catAx>
      <c:valAx>
        <c:axId val="8542617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539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5238208158973"/>
          <c:y val="0.36086465808597473"/>
          <c:w val="0.11052538633839314"/>
          <c:h val="0.26864010201091909"/>
        </c:manualLayout>
      </c:layout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brutto felleskostnad fra i fjor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09072977807323"/>
          <c:y val="0.16217515417224554"/>
          <c:w val="0.75303428593271426"/>
          <c:h val="0.697190755277551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'10-Annet'!$D$53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'10-Annet'!$E$52:$H$52</c:f>
              <c:strCache>
                <c:ptCount val="4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</c:strCache>
            </c:strRef>
          </c:cat>
          <c:val>
            <c:numRef>
              <c:f>'10-Annet'!$E$53:$H$53</c:f>
              <c:numCache>
                <c:formatCode>#,##0_ ;[Red]\-#,##0\ </c:formatCode>
                <c:ptCount val="4"/>
                <c:pt idx="0">
                  <c:v>15683150</c:v>
                </c:pt>
                <c:pt idx="1">
                  <c:v>12065111</c:v>
                </c:pt>
                <c:pt idx="2">
                  <c:v>18979469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'10-Annet'!$D$54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'10-Annet'!$E$52:$H$52</c:f>
              <c:strCache>
                <c:ptCount val="4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</c:strCache>
            </c:strRef>
          </c:cat>
          <c:val>
            <c:numRef>
              <c:f>'10-Annet'!$E$54:$H$54</c:f>
              <c:numCache>
                <c:formatCode>#,##0_ ;[Red]\-#,##0\ </c:formatCode>
                <c:ptCount val="4"/>
                <c:pt idx="0">
                  <c:v>17406557.049913943</c:v>
                </c:pt>
                <c:pt idx="1">
                  <c:v>12000638.541241888</c:v>
                </c:pt>
                <c:pt idx="2">
                  <c:v>17850793.408844166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51520"/>
        <c:axId val="85453056"/>
      </c:barChart>
      <c:catAx>
        <c:axId val="85451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453056"/>
        <c:crosses val="autoZero"/>
        <c:auto val="1"/>
        <c:lblAlgn val="ctr"/>
        <c:lblOffset val="100"/>
        <c:noMultiLvlLbl val="0"/>
      </c:catAx>
      <c:valAx>
        <c:axId val="85453056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5451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 totale studiepoenginntekter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'2-Studiepoeng'!$E$3:$I$3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'2-Studiepoeng'!$E$4:$I$4</c:f>
              <c:numCache>
                <c:formatCode>#,##0_ ;[Red]\-#,##0\ </c:formatCode>
                <c:ptCount val="5"/>
                <c:pt idx="0">
                  <c:v>14733733.333333334</c:v>
                </c:pt>
                <c:pt idx="1">
                  <c:v>14678000</c:v>
                </c:pt>
                <c:pt idx="2">
                  <c:v>12289733.333333334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studiepoenginntekter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'2-Studiepoeng'!$D$57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'2-Studiepoeng'!$E$56:$I$56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'2-Studiepoeng'!$E$57:$I$57</c:f>
              <c:numCache>
                <c:formatCode>#,##0_ ;[Red]\-#,##0\ </c:formatCode>
                <c:ptCount val="5"/>
                <c:pt idx="0">
                  <c:v>12854767</c:v>
                </c:pt>
                <c:pt idx="1">
                  <c:v>14954033</c:v>
                </c:pt>
                <c:pt idx="2">
                  <c:v>11582100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'2-Studiepoeng'!$D$58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'2-Studiepoeng'!$E$56:$I$56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'2-Studiepoeng'!$E$58:$I$58</c:f>
              <c:numCache>
                <c:formatCode>#,##0_ ;[Red]\-#,##0\ </c:formatCode>
                <c:ptCount val="5"/>
                <c:pt idx="0">
                  <c:v>14733733.333333334</c:v>
                </c:pt>
                <c:pt idx="1">
                  <c:v>14678000</c:v>
                </c:pt>
                <c:pt idx="2">
                  <c:v>12289733.333333334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70496"/>
        <c:axId val="81372288"/>
      </c:barChart>
      <c:catAx>
        <c:axId val="8137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372288"/>
        <c:crosses val="autoZero"/>
        <c:auto val="1"/>
        <c:lblAlgn val="ctr"/>
        <c:lblOffset val="100"/>
        <c:noMultiLvlLbl val="0"/>
      </c:catAx>
      <c:valAx>
        <c:axId val="81372288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1370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</a:t>
            </a:r>
            <a:r>
              <a:rPr lang="nb-NO" sz="1600" baseline="0"/>
              <a:t> utvekslings</a:t>
            </a:r>
            <a:r>
              <a:rPr lang="nb-NO" sz="1600"/>
              <a:t>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0">
                      <a:solidFill>
                        <a:schemeClr val="bg1"/>
                      </a:solidFill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'3-Utvekslingsstudenter'!$E$3:$I$3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'3-Utvekslingsstudenter'!$E$4:$I$4</c:f>
              <c:numCache>
                <c:formatCode>#,##0_ ;[Red]\-#,##0\ </c:formatCode>
                <c:ptCount val="5"/>
                <c:pt idx="0">
                  <c:v>6833.3333333333339</c:v>
                </c:pt>
                <c:pt idx="1">
                  <c:v>148966.66666666669</c:v>
                </c:pt>
                <c:pt idx="2">
                  <c:v>195433.33333333331</c:v>
                </c:pt>
                <c:pt idx="3">
                  <c:v>0</c:v>
                </c:pt>
                <c:pt idx="4">
                  <c:v>157166.66666666669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utvekslingsinntekter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'3-Utvekslingsstudenter'!$D$35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'3-Utvekslingsstudenter'!$E$34:$I$34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'3-Utvekslingsstudenter'!$E$35:$I$35</c:f>
              <c:numCache>
                <c:formatCode>#,##0_ ;[Red]\-#,##0\ </c:formatCode>
                <c:ptCount val="5"/>
                <c:pt idx="0">
                  <c:v>5467</c:v>
                </c:pt>
                <c:pt idx="1">
                  <c:v>131200</c:v>
                </c:pt>
                <c:pt idx="2">
                  <c:v>239167</c:v>
                </c:pt>
                <c:pt idx="3">
                  <c:v>0</c:v>
                </c:pt>
                <c:pt idx="4">
                  <c:v>116167</c:v>
                </c:pt>
              </c:numCache>
            </c:numRef>
          </c:val>
        </c:ser>
        <c:ser>
          <c:idx val="0"/>
          <c:order val="1"/>
          <c:tx>
            <c:strRef>
              <c:f>'3-Utvekslingsstudenter'!$D$36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'3-Utvekslingsstudenter'!$E$34:$I$34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'3-Utvekslingsstudenter'!$E$36:$I$36</c:f>
              <c:numCache>
                <c:formatCode>#,##0_ ;[Red]\-#,##0\ </c:formatCode>
                <c:ptCount val="5"/>
                <c:pt idx="0">
                  <c:v>6833.3333333333339</c:v>
                </c:pt>
                <c:pt idx="1">
                  <c:v>148966.66666666669</c:v>
                </c:pt>
                <c:pt idx="2">
                  <c:v>195433.33333333331</c:v>
                </c:pt>
                <c:pt idx="3">
                  <c:v>0</c:v>
                </c:pt>
                <c:pt idx="4">
                  <c:v>157166.66666666669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2064"/>
        <c:axId val="81673600"/>
      </c:barChart>
      <c:catAx>
        <c:axId val="8167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673600"/>
        <c:crosses val="autoZero"/>
        <c:auto val="1"/>
        <c:lblAlgn val="ctr"/>
        <c:lblOffset val="100"/>
        <c:noMultiLvlLbl val="0"/>
      </c:catAx>
      <c:valAx>
        <c:axId val="81673600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1672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</a:t>
            </a:r>
            <a:r>
              <a:rPr lang="nb-NO" sz="1600" baseline="0"/>
              <a:t> doktorgrads</a:t>
            </a:r>
            <a:r>
              <a:rPr lang="nb-NO" sz="1600"/>
              <a:t>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0">
                      <a:solidFill>
                        <a:schemeClr val="bg1"/>
                      </a:solidFill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'4-Doktorgrader'!$E$3:$I$3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'4-Doktorgrader'!$E$4:$I$4</c:f>
              <c:numCache>
                <c:formatCode>#,##0_ ;[Red]\-#,##0\ </c:formatCode>
                <c:ptCount val="5"/>
                <c:pt idx="0">
                  <c:v>661333.33333333326</c:v>
                </c:pt>
                <c:pt idx="1">
                  <c:v>826666.66666666674</c:v>
                </c:pt>
                <c:pt idx="2">
                  <c:v>1984000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Endring i doktorgradsinntekter fra i fjor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'4-Doktorgrader'!$D$35</c:f>
              <c:strCache>
                <c:ptCount val="1"/>
                <c:pt idx="0">
                  <c:v>2012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'4-Doktorgrader'!$E$34:$I$34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'4-Doktorgrader'!$E$35:$I$35</c:f>
              <c:numCache>
                <c:formatCode>#,##0_ ;[Red]\-#,##0\ </c:formatCode>
                <c:ptCount val="5"/>
                <c:pt idx="0">
                  <c:v>662005</c:v>
                </c:pt>
                <c:pt idx="1">
                  <c:v>827507</c:v>
                </c:pt>
                <c:pt idx="2">
                  <c:v>1820515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'4-Doktorgrader'!$D$36</c:f>
              <c:strCache>
                <c:ptCount val="1"/>
                <c:pt idx="0">
                  <c:v>2013</c:v>
                </c:pt>
              </c:strCache>
            </c:strRef>
          </c:tx>
          <c:spPr>
            <a:pattFill prst="trellis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strRef>
              <c:f>'4-Doktorgrader'!$E$34:$I$34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'4-Doktorgrader'!$E$36:$I$36</c:f>
              <c:numCache>
                <c:formatCode>#,##0_ ;[Red]\-#,##0\ </c:formatCode>
                <c:ptCount val="5"/>
                <c:pt idx="0">
                  <c:v>661333.33333333326</c:v>
                </c:pt>
                <c:pt idx="1">
                  <c:v>826666.66666666674</c:v>
                </c:pt>
                <c:pt idx="2">
                  <c:v>1984000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8176"/>
        <c:axId val="83859712"/>
      </c:barChart>
      <c:catAx>
        <c:axId val="83858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9712"/>
        <c:crosses val="autoZero"/>
        <c:auto val="1"/>
        <c:lblAlgn val="ctr"/>
        <c:lblOffset val="100"/>
        <c:noMultiLvlLbl val="0"/>
      </c:catAx>
      <c:valAx>
        <c:axId val="83859712"/>
        <c:scaling>
          <c:orientation val="minMax"/>
        </c:scaling>
        <c:delete val="0"/>
        <c:axPos val="l"/>
        <c:majorGridlines/>
        <c:numFmt formatCode="#,##0_ ;[Red]\-#,##0\ " sourceLinked="1"/>
        <c:majorTickMark val="none"/>
        <c:minorTickMark val="none"/>
        <c:tickLblPos val="nextTo"/>
        <c:crossAx val="83858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nb-NO" sz="1600"/>
              <a:t>Enhetenes prosentandel av</a:t>
            </a:r>
            <a:r>
              <a:rPr lang="nb-NO" sz="1600" baseline="0"/>
              <a:t> stipendiat</a:t>
            </a:r>
            <a:r>
              <a:rPr lang="nb-NO" sz="1600"/>
              <a:t>inntekter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Lbls>
            <c:dLbl>
              <c:idx val="4"/>
              <c:spPr/>
              <c:txPr>
                <a:bodyPr/>
                <a:lstStyle/>
                <a:p>
                  <a:pPr>
                    <a:defRPr sz="1200" b="0">
                      <a:solidFill>
                        <a:schemeClr val="bg1"/>
                      </a:solidFill>
                    </a:defRPr>
                  </a:pPr>
                  <a:endParaRPr lang="nb-N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0"/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'5-Stipendiatstillinger'!$E$3:$I$3</c:f>
              <c:strCache>
                <c:ptCount val="5"/>
                <c:pt idx="0">
                  <c:v>ILS</c:v>
                </c:pt>
                <c:pt idx="1">
                  <c:v>ISP</c:v>
                </c:pt>
                <c:pt idx="2">
                  <c:v>iPED</c:v>
                </c:pt>
                <c:pt idx="3">
                  <c:v>CEMO</c:v>
                </c:pt>
                <c:pt idx="4">
                  <c:v>FELLES</c:v>
                </c:pt>
              </c:strCache>
            </c:strRef>
          </c:cat>
          <c:val>
            <c:numRef>
              <c:f>'5-Stipendiatstillinger'!$E$4:$I$4</c:f>
              <c:numCache>
                <c:formatCode>#,##0_ ;[Red]\-#,##0\ </c:formatCode>
                <c:ptCount val="5"/>
                <c:pt idx="0">
                  <c:v>11952000</c:v>
                </c:pt>
                <c:pt idx="1">
                  <c:v>9711000</c:v>
                </c:pt>
                <c:pt idx="2">
                  <c:v>17181000</c:v>
                </c:pt>
                <c:pt idx="3">
                  <c:v>747000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14287</xdr:rowOff>
    </xdr:from>
    <xdr:to>
      <xdr:col>25</xdr:col>
      <xdr:colOff>600075</xdr:colOff>
      <xdr:row>29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32</xdr:row>
      <xdr:rowOff>19050</xdr:rowOff>
    </xdr:from>
    <xdr:to>
      <xdr:col>26</xdr:col>
      <xdr:colOff>0</xdr:colOff>
      <xdr:row>52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134471</xdr:colOff>
      <xdr:row>2</xdr:row>
      <xdr:rowOff>22411</xdr:rowOff>
    </xdr:from>
    <xdr:to>
      <xdr:col>25</xdr:col>
      <xdr:colOff>571501</xdr:colOff>
      <xdr:row>18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134471</xdr:colOff>
      <xdr:row>18</xdr:row>
      <xdr:rowOff>134470</xdr:rowOff>
    </xdr:from>
    <xdr:to>
      <xdr:col>25</xdr:col>
      <xdr:colOff>582705</xdr:colOff>
      <xdr:row>26</xdr:row>
      <xdr:rowOff>156882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145676</xdr:colOff>
      <xdr:row>27</xdr:row>
      <xdr:rowOff>100852</xdr:rowOff>
    </xdr:from>
    <xdr:to>
      <xdr:col>25</xdr:col>
      <xdr:colOff>593913</xdr:colOff>
      <xdr:row>47</xdr:row>
      <xdr:rowOff>179293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145678</xdr:colOff>
      <xdr:row>51</xdr:row>
      <xdr:rowOff>22413</xdr:rowOff>
    </xdr:from>
    <xdr:to>
      <xdr:col>25</xdr:col>
      <xdr:colOff>571502</xdr:colOff>
      <xdr:row>74</xdr:row>
      <xdr:rowOff>56824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19766" y="10085295"/>
          <a:ext cx="6409765" cy="4427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14287</xdr:rowOff>
    </xdr:from>
    <xdr:to>
      <xdr:col>25</xdr:col>
      <xdr:colOff>600075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32</xdr:row>
      <xdr:rowOff>19050</xdr:rowOff>
    </xdr:from>
    <xdr:to>
      <xdr:col>26</xdr:col>
      <xdr:colOff>0</xdr:colOff>
      <xdr:row>52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14287</xdr:rowOff>
    </xdr:from>
    <xdr:to>
      <xdr:col>25</xdr:col>
      <xdr:colOff>600075</xdr:colOff>
      <xdr:row>29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12</xdr:row>
      <xdr:rowOff>19050</xdr:rowOff>
    </xdr:from>
    <xdr:to>
      <xdr:col>13</xdr:col>
      <xdr:colOff>0</xdr:colOff>
      <xdr:row>29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14287</xdr:rowOff>
    </xdr:from>
    <xdr:to>
      <xdr:col>25</xdr:col>
      <xdr:colOff>600075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12</xdr:row>
      <xdr:rowOff>19050</xdr:rowOff>
    </xdr:from>
    <xdr:to>
      <xdr:col>13</xdr:col>
      <xdr:colOff>0</xdr:colOff>
      <xdr:row>29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14287</xdr:rowOff>
    </xdr:from>
    <xdr:to>
      <xdr:col>25</xdr:col>
      <xdr:colOff>600075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12</xdr:row>
      <xdr:rowOff>19050</xdr:rowOff>
    </xdr:from>
    <xdr:to>
      <xdr:col>13</xdr:col>
      <xdr:colOff>0</xdr:colOff>
      <xdr:row>29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14287</xdr:rowOff>
    </xdr:from>
    <xdr:to>
      <xdr:col>25</xdr:col>
      <xdr:colOff>600075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12</xdr:row>
      <xdr:rowOff>19050</xdr:rowOff>
    </xdr:from>
    <xdr:to>
      <xdr:col>13</xdr:col>
      <xdr:colOff>0</xdr:colOff>
      <xdr:row>29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14287</xdr:rowOff>
    </xdr:from>
    <xdr:to>
      <xdr:col>25</xdr:col>
      <xdr:colOff>600075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12</xdr:row>
      <xdr:rowOff>19050</xdr:rowOff>
    </xdr:from>
    <xdr:to>
      <xdr:col>13</xdr:col>
      <xdr:colOff>0</xdr:colOff>
      <xdr:row>29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32</xdr:row>
      <xdr:rowOff>19051</xdr:rowOff>
    </xdr:from>
    <xdr:to>
      <xdr:col>12</xdr:col>
      <xdr:colOff>266700</xdr:colOff>
      <xdr:row>43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11</xdr:row>
      <xdr:rowOff>0</xdr:rowOff>
    </xdr:from>
    <xdr:to>
      <xdr:col>26</xdr:col>
      <xdr:colOff>0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32</xdr:row>
      <xdr:rowOff>9524</xdr:rowOff>
    </xdr:from>
    <xdr:to>
      <xdr:col>25</xdr:col>
      <xdr:colOff>600075</xdr:colOff>
      <xdr:row>43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168088</xdr:colOff>
      <xdr:row>5</xdr:row>
      <xdr:rowOff>23813</xdr:rowOff>
    </xdr:from>
    <xdr:to>
      <xdr:col>26</xdr:col>
      <xdr:colOff>0</xdr:colOff>
      <xdr:row>20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21</xdr:row>
      <xdr:rowOff>179296</xdr:rowOff>
    </xdr:from>
    <xdr:to>
      <xdr:col>26</xdr:col>
      <xdr:colOff>0</xdr:colOff>
      <xdr:row>36</xdr:row>
      <xdr:rowOff>168088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22413</xdr:colOff>
      <xdr:row>38</xdr:row>
      <xdr:rowOff>0</xdr:rowOff>
    </xdr:from>
    <xdr:to>
      <xdr:col>26</xdr:col>
      <xdr:colOff>22412</xdr:colOff>
      <xdr:row>52</xdr:row>
      <xdr:rowOff>168088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BIFM-2013-FELLES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lles"/>
      <sheetName val="Budsjett pr.seksjon"/>
    </sheetNames>
    <sheetDataSet>
      <sheetData sheetId="0">
        <row r="6">
          <cell r="K6">
            <v>2140000</v>
          </cell>
          <cell r="L6">
            <v>12410242</v>
          </cell>
        </row>
        <row r="7">
          <cell r="K7">
            <v>7190000</v>
          </cell>
          <cell r="L7">
            <v>3579607</v>
          </cell>
        </row>
        <row r="8">
          <cell r="K8">
            <v>0</v>
          </cell>
          <cell r="L8">
            <v>1468688</v>
          </cell>
        </row>
        <row r="9">
          <cell r="K9">
            <v>1820000</v>
          </cell>
          <cell r="L9">
            <v>4700713</v>
          </cell>
        </row>
        <row r="10">
          <cell r="K10">
            <v>0</v>
          </cell>
          <cell r="L10">
            <v>3084773</v>
          </cell>
        </row>
        <row r="11">
          <cell r="K11">
            <v>1035000</v>
          </cell>
          <cell r="L11">
            <v>4374930</v>
          </cell>
        </row>
        <row r="12">
          <cell r="K12">
            <v>0</v>
          </cell>
          <cell r="L12">
            <v>5454036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bh.nsd.uib.no/dbhvev/ansatte/tilsatte_rapport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B1:P43"/>
  <sheetViews>
    <sheetView showGridLines="0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defaultRowHeight="15.75" outlineLevelCol="1" x14ac:dyDescent="0.25"/>
  <cols>
    <col min="1" max="1" width="3.7109375" customWidth="1"/>
    <col min="2" max="2" width="9" style="1" customWidth="1"/>
    <col min="3" max="3" width="3.5703125" style="49" customWidth="1"/>
    <col min="4" max="4" width="28" style="50" customWidth="1"/>
    <col min="5" max="6" width="10.7109375" customWidth="1"/>
    <col min="7" max="7" width="11.28515625" bestFit="1" customWidth="1"/>
    <col min="8" max="9" width="10.7109375" customWidth="1"/>
    <col min="10" max="12" width="10.7109375" customWidth="1" outlineLevel="1"/>
    <col min="13" max="14" width="12.7109375" customWidth="1"/>
    <col min="15" max="15" width="11.28515625" bestFit="1" customWidth="1"/>
    <col min="16" max="16" width="10.7109375" customWidth="1"/>
    <col min="17" max="17" width="3.7109375" customWidth="1"/>
  </cols>
  <sheetData>
    <row r="1" spans="2:16" ht="23.25" x14ac:dyDescent="0.35">
      <c r="B1" s="246">
        <v>2013</v>
      </c>
      <c r="D1" s="40" t="s">
        <v>45</v>
      </c>
    </row>
    <row r="3" spans="2:16" ht="16.5" thickBot="1" x14ac:dyDescent="0.3">
      <c r="E3" s="51" t="s">
        <v>13</v>
      </c>
      <c r="F3" s="51" t="s">
        <v>14</v>
      </c>
      <c r="G3" s="52" t="s">
        <v>121</v>
      </c>
      <c r="H3" s="51" t="s">
        <v>16</v>
      </c>
      <c r="I3" s="51" t="s">
        <v>15</v>
      </c>
      <c r="J3" s="53" t="s">
        <v>17</v>
      </c>
      <c r="K3" s="51" t="s">
        <v>21</v>
      </c>
      <c r="L3" s="51" t="s">
        <v>18</v>
      </c>
      <c r="M3" s="54" t="s">
        <v>19</v>
      </c>
      <c r="N3" s="55" t="s">
        <v>40</v>
      </c>
      <c r="O3" s="51" t="s">
        <v>38</v>
      </c>
      <c r="P3" s="56" t="s">
        <v>47</v>
      </c>
    </row>
    <row r="4" spans="2:16" x14ac:dyDescent="0.25">
      <c r="B4" s="1" t="s">
        <v>0</v>
      </c>
      <c r="H4" s="62"/>
    </row>
    <row r="5" spans="2:16" x14ac:dyDescent="0.25">
      <c r="C5" s="49">
        <v>1</v>
      </c>
      <c r="D5" s="50" t="s">
        <v>1</v>
      </c>
      <c r="E5" s="146">
        <f>'1-Studieplasser'!E4</f>
        <v>36373000</v>
      </c>
      <c r="F5" s="146">
        <f>'1-Studieplasser'!F4</f>
        <v>23782000</v>
      </c>
      <c r="G5" s="146">
        <f>'1-Studieplasser'!G4</f>
        <v>23102000</v>
      </c>
      <c r="H5" s="193">
        <f>'1-Studieplasser'!H4</f>
        <v>0</v>
      </c>
      <c r="I5" s="146">
        <f>SUM(J5:L5)</f>
        <v>0</v>
      </c>
      <c r="J5" s="198">
        <f>'1-Studieplasser'!J4</f>
        <v>0</v>
      </c>
      <c r="K5" s="146">
        <f>'1-Studieplasser'!K4</f>
        <v>0</v>
      </c>
      <c r="L5" s="146">
        <f>'1-Studieplasser'!L4</f>
        <v>0</v>
      </c>
      <c r="M5" s="199">
        <f>SUM(E5:I5)</f>
        <v>83257000</v>
      </c>
      <c r="N5" s="294">
        <v>83984000</v>
      </c>
      <c r="O5" s="146">
        <f>N5-M5</f>
        <v>727000</v>
      </c>
      <c r="P5" s="57">
        <f>IFERROR(O5/N5,"-")</f>
        <v>8.6564107449037912E-3</v>
      </c>
    </row>
    <row r="6" spans="2:16" x14ac:dyDescent="0.25">
      <c r="C6" s="49">
        <v>2</v>
      </c>
      <c r="D6" s="50" t="s">
        <v>2</v>
      </c>
      <c r="E6" s="146">
        <f>'2-Studiepoeng'!E4</f>
        <v>14733733.333333334</v>
      </c>
      <c r="F6" s="146">
        <f>'2-Studiepoeng'!F4</f>
        <v>14678000</v>
      </c>
      <c r="G6" s="146">
        <f>'2-Studiepoeng'!G4</f>
        <v>12289733.333333334</v>
      </c>
      <c r="H6" s="146">
        <f>'2-Studiepoeng'!H4</f>
        <v>0</v>
      </c>
      <c r="I6" s="146">
        <f>SUM(J6:L6)</f>
        <v>0</v>
      </c>
      <c r="J6" s="198">
        <f>'2-Studiepoeng'!J4</f>
        <v>0</v>
      </c>
      <c r="K6" s="146">
        <f>'2-Studiepoeng'!K4</f>
        <v>0</v>
      </c>
      <c r="L6" s="146">
        <f>'2-Studiepoeng'!L4</f>
        <v>0</v>
      </c>
      <c r="M6" s="199">
        <f>SUM(E6:I6)</f>
        <v>41701466.666666672</v>
      </c>
      <c r="N6" s="243">
        <f>41641000-N7</f>
        <v>41132600</v>
      </c>
      <c r="O6" s="146">
        <f>N6-M6</f>
        <v>-568866.66666667163</v>
      </c>
      <c r="P6" s="57">
        <f>IFERROR(O6/N6,"-")</f>
        <v>-1.3830068283227212E-2</v>
      </c>
    </row>
    <row r="7" spans="2:16" x14ac:dyDescent="0.25">
      <c r="C7" s="49">
        <v>3</v>
      </c>
      <c r="D7" s="50" t="s">
        <v>3</v>
      </c>
      <c r="E7" s="146">
        <f>'3-Utvekslingsstudenter'!E4</f>
        <v>6833.3333333333339</v>
      </c>
      <c r="F7" s="146">
        <f>'3-Utvekslingsstudenter'!F4</f>
        <v>148966.66666666669</v>
      </c>
      <c r="G7" s="146">
        <f>'3-Utvekslingsstudenter'!G4</f>
        <v>195433.33333333331</v>
      </c>
      <c r="H7" s="146">
        <f>'3-Utvekslingsstudenter'!H4</f>
        <v>0</v>
      </c>
      <c r="I7" s="146">
        <f>SUM(J7:L7)</f>
        <v>157166.66666666669</v>
      </c>
      <c r="J7" s="198">
        <f>'3-Utvekslingsstudenter'!J4</f>
        <v>157166.66666666669</v>
      </c>
      <c r="K7" s="146">
        <f>'3-Utvekslingsstudenter'!K4</f>
        <v>0</v>
      </c>
      <c r="L7" s="146">
        <f>'3-Utvekslingsstudenter'!L4</f>
        <v>0</v>
      </c>
      <c r="M7" s="199">
        <f>SUM(E7:I7)</f>
        <v>508400.00000000006</v>
      </c>
      <c r="N7" s="243">
        <v>508400</v>
      </c>
      <c r="O7" s="146">
        <f>N7-M7</f>
        <v>0</v>
      </c>
      <c r="P7" s="57">
        <f>IFERROR(O7/N7,"-")</f>
        <v>0</v>
      </c>
    </row>
    <row r="8" spans="2:16" x14ac:dyDescent="0.25">
      <c r="B8" s="1" t="s">
        <v>48</v>
      </c>
      <c r="E8" s="200">
        <f>SUM(E5:E7)</f>
        <v>51113566.666666672</v>
      </c>
      <c r="F8" s="200">
        <f>SUM(F5:F7)</f>
        <v>38608966.666666664</v>
      </c>
      <c r="G8" s="200">
        <f>SUM(G5:G7)</f>
        <v>35587166.666666672</v>
      </c>
      <c r="H8" s="200">
        <f>SUM(H5:H7)</f>
        <v>0</v>
      </c>
      <c r="I8" s="200">
        <f>SUM(J8:L8)</f>
        <v>157166.66666666669</v>
      </c>
      <c r="J8" s="201">
        <f>SUM(J5:J7)</f>
        <v>157166.66666666669</v>
      </c>
      <c r="K8" s="200">
        <f>SUM(K5:K7)</f>
        <v>0</v>
      </c>
      <c r="L8" s="200">
        <f>SUM(L5:L7)</f>
        <v>0</v>
      </c>
      <c r="M8" s="202">
        <f>SUM(E8:I8)</f>
        <v>125466866.66666669</v>
      </c>
      <c r="N8" s="203">
        <f>SUM(N5:N7)</f>
        <v>125625000</v>
      </c>
      <c r="O8" s="200">
        <f>SUM(O5:O7)</f>
        <v>158133.33333332837</v>
      </c>
      <c r="P8" s="58">
        <f>IFERROR(O8/N8,"-")</f>
        <v>1.25877280265336E-3</v>
      </c>
    </row>
    <row r="9" spans="2:16" x14ac:dyDescent="0.25">
      <c r="E9" s="146"/>
      <c r="F9" s="146"/>
      <c r="G9" s="146"/>
      <c r="H9" s="193"/>
      <c r="I9" s="146"/>
      <c r="J9" s="198"/>
      <c r="K9" s="193"/>
      <c r="L9" s="146"/>
      <c r="M9" s="199"/>
      <c r="N9" s="204"/>
      <c r="O9" s="146"/>
      <c r="P9" s="57"/>
    </row>
    <row r="10" spans="2:16" x14ac:dyDescent="0.25">
      <c r="B10" s="1" t="s">
        <v>5</v>
      </c>
      <c r="E10" s="146"/>
      <c r="F10" s="146"/>
      <c r="G10" s="146"/>
      <c r="H10" s="193"/>
      <c r="I10" s="146"/>
      <c r="J10" s="198"/>
      <c r="K10" s="193"/>
      <c r="L10" s="146"/>
      <c r="M10" s="199"/>
      <c r="N10" s="204"/>
      <c r="O10" s="146"/>
      <c r="P10" s="57"/>
    </row>
    <row r="11" spans="2:16" s="150" customFormat="1" x14ac:dyDescent="0.25">
      <c r="B11" s="1"/>
      <c r="C11" s="49">
        <v>4</v>
      </c>
      <c r="D11" s="50" t="s">
        <v>4</v>
      </c>
      <c r="E11" s="146">
        <f>'4-Doktorgrader'!E4</f>
        <v>661333.33333333326</v>
      </c>
      <c r="F11" s="146">
        <f>'4-Doktorgrader'!F4</f>
        <v>826666.66666666674</v>
      </c>
      <c r="G11" s="146">
        <f>'4-Doktorgrader'!G4</f>
        <v>1984000</v>
      </c>
      <c r="H11" s="146">
        <f>'4-Doktorgrader'!H4</f>
        <v>0</v>
      </c>
      <c r="I11" s="146">
        <f t="shared" ref="I11:I16" si="0">SUM(J11:L11)</f>
        <v>0</v>
      </c>
      <c r="J11" s="198">
        <f>'4-Doktorgrader'!J4</f>
        <v>0</v>
      </c>
      <c r="K11" s="193">
        <f>'4-Doktorgrader'!K4</f>
        <v>0</v>
      </c>
      <c r="L11" s="193">
        <f>'4-Doktorgrader'!L4</f>
        <v>0</v>
      </c>
      <c r="M11" s="199">
        <f t="shared" ref="M11:M16" si="1">SUM(E11:I11)</f>
        <v>3472000</v>
      </c>
      <c r="N11" s="243">
        <v>3468000</v>
      </c>
      <c r="O11" s="146">
        <f>N11-M11</f>
        <v>-4000</v>
      </c>
      <c r="P11" s="57">
        <f t="shared" ref="P11:P16" si="2">IFERROR(O11/N11,"-")</f>
        <v>-1.1534025374855825E-3</v>
      </c>
    </row>
    <row r="12" spans="2:16" x14ac:dyDescent="0.25">
      <c r="C12" s="49">
        <v>5</v>
      </c>
      <c r="D12" s="50" t="s">
        <v>6</v>
      </c>
      <c r="E12" s="146">
        <f>'5-Stipendiatstillinger'!E4</f>
        <v>11952000</v>
      </c>
      <c r="F12" s="146">
        <f>'5-Stipendiatstillinger'!F4</f>
        <v>9711000</v>
      </c>
      <c r="G12" s="146">
        <f>'5-Stipendiatstillinger'!G4</f>
        <v>17181000</v>
      </c>
      <c r="H12" s="146">
        <f>'5-Stipendiatstillinger'!H4</f>
        <v>747000</v>
      </c>
      <c r="I12" s="146">
        <f t="shared" si="0"/>
        <v>0</v>
      </c>
      <c r="J12" s="198">
        <f>'5-Stipendiatstillinger'!J4</f>
        <v>0</v>
      </c>
      <c r="K12" s="146">
        <f>'5-Stipendiatstillinger'!K4</f>
        <v>0</v>
      </c>
      <c r="L12" s="146">
        <f>'5-Stipendiatstillinger'!L4</f>
        <v>0</v>
      </c>
      <c r="M12" s="199">
        <f t="shared" si="1"/>
        <v>39591000</v>
      </c>
      <c r="N12" s="243">
        <f>37354000+1787000</f>
        <v>39141000</v>
      </c>
      <c r="O12" s="146">
        <f>N12-M12</f>
        <v>-450000</v>
      </c>
      <c r="P12" s="57">
        <f t="shared" si="2"/>
        <v>-1.1496895838123706E-2</v>
      </c>
    </row>
    <row r="13" spans="2:16" x14ac:dyDescent="0.25">
      <c r="C13" s="49">
        <v>6</v>
      </c>
      <c r="D13" s="50" t="s">
        <v>7</v>
      </c>
      <c r="E13" s="146">
        <f>'6-Postdocstillinger'!E4</f>
        <v>3076500</v>
      </c>
      <c r="F13" s="146">
        <f>'6-Postdocstillinger'!F4</f>
        <v>1758000</v>
      </c>
      <c r="G13" s="146">
        <f>'6-Postdocstillinger'!G4</f>
        <v>3516000</v>
      </c>
      <c r="H13" s="146">
        <f>'6-Postdocstillinger'!H4</f>
        <v>439500</v>
      </c>
      <c r="I13" s="146">
        <f t="shared" si="0"/>
        <v>0</v>
      </c>
      <c r="J13" s="198">
        <f>'6-Postdocstillinger'!J4</f>
        <v>0</v>
      </c>
      <c r="K13" s="146">
        <f>'6-Postdocstillinger'!K4</f>
        <v>0</v>
      </c>
      <c r="L13" s="146">
        <f>'6-Postdocstillinger'!L4</f>
        <v>0</v>
      </c>
      <c r="M13" s="199">
        <f t="shared" si="1"/>
        <v>8790000</v>
      </c>
      <c r="N13" s="243">
        <f>7030000+894000</f>
        <v>7924000</v>
      </c>
      <c r="O13" s="146">
        <f>N13-M13</f>
        <v>-866000</v>
      </c>
      <c r="P13" s="57">
        <f t="shared" si="2"/>
        <v>-0.10928823826350328</v>
      </c>
    </row>
    <row r="14" spans="2:16" x14ac:dyDescent="0.25">
      <c r="C14" s="49">
        <v>7</v>
      </c>
      <c r="D14" s="50" t="s">
        <v>8</v>
      </c>
      <c r="E14" s="146">
        <f>'7-Publikasjonspoeng'!E4</f>
        <v>5799066.666666667</v>
      </c>
      <c r="F14" s="146">
        <f>'7-Publikasjonspoeng'!F4</f>
        <v>4305600</v>
      </c>
      <c r="G14" s="146">
        <f>'7-Publikasjonspoeng'!G4</f>
        <v>9736666.666666666</v>
      </c>
      <c r="H14" s="146">
        <f>'7-Publikasjonspoeng'!H4</f>
        <v>0</v>
      </c>
      <c r="I14" s="146">
        <f t="shared" si="0"/>
        <v>36800</v>
      </c>
      <c r="J14" s="198">
        <f>'7-Publikasjonspoeng'!J4</f>
        <v>36800</v>
      </c>
      <c r="K14" s="146">
        <f>'7-Publikasjonspoeng'!K4</f>
        <v>0</v>
      </c>
      <c r="L14" s="146">
        <f>'7-Publikasjonspoeng'!L4</f>
        <v>0</v>
      </c>
      <c r="M14" s="199">
        <f t="shared" si="1"/>
        <v>19878133.333333336</v>
      </c>
      <c r="N14" s="243">
        <v>4971000</v>
      </c>
      <c r="O14" s="146">
        <f>N14-M14</f>
        <v>-14907133.333333336</v>
      </c>
      <c r="P14" s="57">
        <f t="shared" si="2"/>
        <v>-2.9988198216321336</v>
      </c>
    </row>
    <row r="15" spans="2:16" x14ac:dyDescent="0.25">
      <c r="C15" s="49">
        <v>8</v>
      </c>
      <c r="D15" s="50" t="s">
        <v>9</v>
      </c>
      <c r="E15" s="146">
        <f>'8-EFV'!E4</f>
        <v>1932824.5119999999</v>
      </c>
      <c r="F15" s="146">
        <f>'8-EFV'!F4</f>
        <v>263558.56800000003</v>
      </c>
      <c r="G15" s="146">
        <f>'8-EFV'!G4</f>
        <v>2387867.92</v>
      </c>
      <c r="H15" s="146">
        <f>'8-EFV'!H4</f>
        <v>0</v>
      </c>
      <c r="I15" s="146">
        <f t="shared" si="0"/>
        <v>352248.73600000003</v>
      </c>
      <c r="J15" s="64">
        <f>'8-EFV'!J4</f>
        <v>352248.73600000003</v>
      </c>
      <c r="K15" s="146">
        <f>'8-EFV'!K4</f>
        <v>0</v>
      </c>
      <c r="L15" s="146">
        <f>'8-EFV'!L4</f>
        <v>0</v>
      </c>
      <c r="M15" s="199">
        <f t="shared" si="1"/>
        <v>4936499.7359999996</v>
      </c>
      <c r="N15" s="243">
        <f>1443000+3434000</f>
        <v>4877000</v>
      </c>
      <c r="O15" s="146">
        <f>N15-M15</f>
        <v>-59499.735999999568</v>
      </c>
      <c r="P15" s="57">
        <f t="shared" si="2"/>
        <v>-1.2200068894812297E-2</v>
      </c>
    </row>
    <row r="16" spans="2:16" x14ac:dyDescent="0.25">
      <c r="B16" s="1" t="s">
        <v>49</v>
      </c>
      <c r="E16" s="200">
        <f>SUM(E11:E15)</f>
        <v>23421724.511999998</v>
      </c>
      <c r="F16" s="200">
        <f>SUM(F11:F15)</f>
        <v>16864825.234666668</v>
      </c>
      <c r="G16" s="200">
        <f>SUM(G11:G15)</f>
        <v>34805534.586666666</v>
      </c>
      <c r="H16" s="200">
        <f>SUM(H11:H15)</f>
        <v>1186500</v>
      </c>
      <c r="I16" s="200">
        <f t="shared" si="0"/>
        <v>389048.73600000003</v>
      </c>
      <c r="J16" s="201">
        <f>SUM(J11:J15)</f>
        <v>389048.73600000003</v>
      </c>
      <c r="K16" s="200">
        <f>SUM(K11:K15)</f>
        <v>0</v>
      </c>
      <c r="L16" s="200">
        <f>SUM(L11:L15)</f>
        <v>0</v>
      </c>
      <c r="M16" s="202">
        <f t="shared" si="1"/>
        <v>76667633.069333345</v>
      </c>
      <c r="N16" s="203">
        <f>SUM(N11:N15)</f>
        <v>60381000</v>
      </c>
      <c r="O16" s="200">
        <f>SUM(O11:O15)</f>
        <v>-16286633.069333335</v>
      </c>
      <c r="P16" s="58">
        <f t="shared" si="2"/>
        <v>-0.26973109205434381</v>
      </c>
    </row>
    <row r="17" spans="2:16" x14ac:dyDescent="0.25">
      <c r="E17" s="146"/>
      <c r="F17" s="146"/>
      <c r="G17" s="146"/>
      <c r="H17" s="193"/>
      <c r="I17" s="146"/>
      <c r="J17" s="198"/>
      <c r="K17" s="146"/>
      <c r="L17" s="146"/>
      <c r="M17" s="199"/>
      <c r="N17" s="204"/>
      <c r="O17" s="146"/>
      <c r="P17" s="57"/>
    </row>
    <row r="18" spans="2:16" x14ac:dyDescent="0.25">
      <c r="B18" s="1" t="s">
        <v>10</v>
      </c>
      <c r="E18" s="146"/>
      <c r="F18" s="146"/>
      <c r="G18" s="146"/>
      <c r="H18" s="193"/>
      <c r="I18" s="146"/>
      <c r="J18" s="198"/>
      <c r="K18" s="146"/>
      <c r="L18" s="146"/>
      <c r="M18" s="199"/>
      <c r="N18" s="204"/>
      <c r="O18" s="146"/>
      <c r="P18" s="57"/>
    </row>
    <row r="19" spans="2:16" ht="16.5" thickBot="1" x14ac:dyDescent="0.3">
      <c r="B19" s="1" t="s">
        <v>50</v>
      </c>
      <c r="E19" s="205">
        <f>E8+E16</f>
        <v>74535291.178666666</v>
      </c>
      <c r="F19" s="205">
        <f t="shared" ref="F19:L19" si="3">F8+F16</f>
        <v>55473791.901333332</v>
      </c>
      <c r="G19" s="205">
        <f t="shared" si="3"/>
        <v>70392701.25333333</v>
      </c>
      <c r="H19" s="205">
        <f>H8+H16</f>
        <v>1186500</v>
      </c>
      <c r="I19" s="205">
        <f>SUM(J19:L19)</f>
        <v>546215.40266666678</v>
      </c>
      <c r="J19" s="206">
        <f t="shared" si="3"/>
        <v>546215.40266666678</v>
      </c>
      <c r="K19" s="205">
        <f t="shared" si="3"/>
        <v>0</v>
      </c>
      <c r="L19" s="205">
        <f t="shared" si="3"/>
        <v>0</v>
      </c>
      <c r="M19" s="207">
        <f>SUM(E19:I19)</f>
        <v>202134499.73599997</v>
      </c>
      <c r="N19" s="208">
        <f>N8+N16</f>
        <v>186006000</v>
      </c>
      <c r="O19" s="205">
        <f>N19-M19</f>
        <v>-16128499.735999972</v>
      </c>
      <c r="P19" s="59">
        <f>IFERROR(O19/N19,"-")</f>
        <v>-8.6709567089233525E-2</v>
      </c>
    </row>
    <row r="20" spans="2:16" x14ac:dyDescent="0.25">
      <c r="E20" s="146"/>
      <c r="F20" s="146"/>
      <c r="G20" s="146"/>
      <c r="H20" s="193"/>
      <c r="I20" s="146"/>
      <c r="J20" s="198"/>
      <c r="K20" s="146"/>
      <c r="L20" s="146"/>
      <c r="M20" s="199"/>
      <c r="N20" s="204"/>
      <c r="O20" s="146"/>
      <c r="P20" s="57"/>
    </row>
    <row r="21" spans="2:16" x14ac:dyDescent="0.25">
      <c r="B21" s="1" t="s">
        <v>11</v>
      </c>
      <c r="E21" s="146"/>
      <c r="F21" s="146"/>
      <c r="G21" s="146"/>
      <c r="H21" s="193"/>
      <c r="I21" s="146"/>
      <c r="J21" s="198"/>
      <c r="K21" s="146"/>
      <c r="L21" s="146"/>
      <c r="M21" s="199"/>
      <c r="N21" s="204"/>
      <c r="O21" s="146"/>
      <c r="P21" s="57"/>
    </row>
    <row r="22" spans="2:16" x14ac:dyDescent="0.25">
      <c r="C22" s="49">
        <v>9</v>
      </c>
      <c r="D22" s="50" t="s">
        <v>108</v>
      </c>
      <c r="E22" s="146">
        <f>'9-Satsinger'!E4</f>
        <v>2250000</v>
      </c>
      <c r="F22" s="146">
        <f>'9-Satsinger'!F4</f>
        <v>0</v>
      </c>
      <c r="G22" s="146">
        <f>'9-Satsinger'!G4</f>
        <v>11453785</v>
      </c>
      <c r="H22" s="146">
        <f>'9-Satsinger'!H4</f>
        <v>430000</v>
      </c>
      <c r="I22" s="146">
        <f>SUM(J22:L22)</f>
        <v>5925000</v>
      </c>
      <c r="J22" s="198">
        <f>'9-Satsinger'!J4</f>
        <v>0</v>
      </c>
      <c r="K22" s="146">
        <f>'9-Satsinger'!K4</f>
        <v>5525000</v>
      </c>
      <c r="L22" s="146">
        <f>'9-Satsinger'!L4</f>
        <v>400000</v>
      </c>
      <c r="M22" s="199">
        <f>SUM(E22:I22)</f>
        <v>20058785</v>
      </c>
      <c r="N22" s="243">
        <f>32076000+4478000</f>
        <v>36554000</v>
      </c>
      <c r="O22" s="146">
        <f>N22-M22</f>
        <v>16495215</v>
      </c>
      <c r="P22" s="57">
        <f>IFERROR(O22/N22,"-")</f>
        <v>0.45125608688515623</v>
      </c>
    </row>
    <row r="23" spans="2:16" x14ac:dyDescent="0.25">
      <c r="B23" s="1" t="s">
        <v>51</v>
      </c>
      <c r="E23" s="200">
        <f>SUM(E22:E22)</f>
        <v>2250000</v>
      </c>
      <c r="F23" s="200">
        <f>SUM(F22:F22)</f>
        <v>0</v>
      </c>
      <c r="G23" s="200">
        <f>SUM(G22:G22)</f>
        <v>11453785</v>
      </c>
      <c r="H23" s="200">
        <f>SUM(H22:H22)</f>
        <v>430000</v>
      </c>
      <c r="I23" s="200">
        <f>SUM(J23:L23)</f>
        <v>5925000</v>
      </c>
      <c r="J23" s="201">
        <f>SUM(J22:J22)</f>
        <v>0</v>
      </c>
      <c r="K23" s="200">
        <f>SUM(K22:K22)</f>
        <v>5525000</v>
      </c>
      <c r="L23" s="200">
        <f>SUM(L22:L22)</f>
        <v>400000</v>
      </c>
      <c r="M23" s="202">
        <f>SUM(E23:I23)</f>
        <v>20058785</v>
      </c>
      <c r="N23" s="203">
        <f>SUM(N22:N22)</f>
        <v>36554000</v>
      </c>
      <c r="O23" s="209">
        <f>N23-M23</f>
        <v>16495215</v>
      </c>
      <c r="P23" s="58">
        <f>IFERROR(O23/N23,"-")</f>
        <v>0.45125608688515623</v>
      </c>
    </row>
    <row r="24" spans="2:16" x14ac:dyDescent="0.25">
      <c r="E24" s="146"/>
      <c r="F24" s="146"/>
      <c r="G24" s="146"/>
      <c r="H24" s="193"/>
      <c r="I24" s="146"/>
      <c r="J24" s="198"/>
      <c r="K24" s="146"/>
      <c r="L24" s="146"/>
      <c r="M24" s="199"/>
      <c r="N24" s="204"/>
      <c r="O24" s="146"/>
      <c r="P24" s="57"/>
    </row>
    <row r="25" spans="2:16" x14ac:dyDescent="0.25">
      <c r="B25" s="1" t="s">
        <v>12</v>
      </c>
      <c r="E25" s="146"/>
      <c r="F25" s="146"/>
      <c r="G25" s="146"/>
      <c r="H25" s="193"/>
      <c r="I25" s="146"/>
      <c r="J25" s="198"/>
      <c r="K25" s="146"/>
      <c r="L25" s="146"/>
      <c r="M25" s="199"/>
      <c r="N25" s="204"/>
      <c r="O25" s="146"/>
      <c r="P25" s="57"/>
    </row>
    <row r="26" spans="2:16" ht="16.5" thickBot="1" x14ac:dyDescent="0.3">
      <c r="B26" s="1" t="s">
        <v>52</v>
      </c>
      <c r="E26" s="205">
        <f>E19+E23</f>
        <v>76785291.178666666</v>
      </c>
      <c r="F26" s="205">
        <f>F19+F23</f>
        <v>55473791.901333332</v>
      </c>
      <c r="G26" s="205">
        <f>G19+G23</f>
        <v>81846486.25333333</v>
      </c>
      <c r="H26" s="205">
        <f>SUM(H19+H23)</f>
        <v>1616500</v>
      </c>
      <c r="I26" s="205">
        <f>SUM(J26:L26)</f>
        <v>6471215.4026666665</v>
      </c>
      <c r="J26" s="206">
        <f>SUM(J19+J23)</f>
        <v>546215.40266666678</v>
      </c>
      <c r="K26" s="205">
        <f>SUM(K19+K23)</f>
        <v>5525000</v>
      </c>
      <c r="L26" s="205">
        <f>SUM(L19+L23)</f>
        <v>400000</v>
      </c>
      <c r="M26" s="207">
        <f>SUM(E26:I26)</f>
        <v>222193284.73599997</v>
      </c>
      <c r="N26" s="208">
        <f>N8+N16+N23</f>
        <v>222560000</v>
      </c>
      <c r="O26" s="205">
        <f>N26-M26</f>
        <v>366715.26400002837</v>
      </c>
      <c r="P26" s="59">
        <f>IFERROR(O26/N26,"-")</f>
        <v>1.6477141624731684E-3</v>
      </c>
    </row>
    <row r="27" spans="2:16" x14ac:dyDescent="0.25">
      <c r="E27" s="146"/>
      <c r="F27" s="146"/>
      <c r="G27" s="146"/>
      <c r="H27" s="193"/>
      <c r="I27" s="146"/>
      <c r="J27" s="198"/>
      <c r="K27" s="146"/>
      <c r="L27" s="146"/>
      <c r="M27" s="199"/>
      <c r="N27" s="204"/>
      <c r="O27" s="146"/>
      <c r="P27" s="57"/>
    </row>
    <row r="28" spans="2:16" x14ac:dyDescent="0.25">
      <c r="B28" s="1" t="s">
        <v>113</v>
      </c>
      <c r="E28" s="146"/>
      <c r="F28" s="146"/>
      <c r="G28" s="146"/>
      <c r="H28" s="193"/>
      <c r="I28" s="146"/>
      <c r="J28" s="198"/>
      <c r="K28" s="193"/>
      <c r="L28" s="146"/>
      <c r="M28" s="199"/>
      <c r="N28" s="204"/>
      <c r="O28" s="146"/>
      <c r="P28" s="57"/>
    </row>
    <row r="29" spans="2:16" s="150" customFormat="1" x14ac:dyDescent="0.25">
      <c r="B29" s="151"/>
      <c r="C29" s="49">
        <v>10</v>
      </c>
      <c r="D29" s="50" t="s">
        <v>112</v>
      </c>
      <c r="E29" s="146">
        <f>-'10-Annet'!E4</f>
        <v>135072.4036075836</v>
      </c>
      <c r="F29" s="146">
        <f>-'10-Annet'!F4</f>
        <v>93123.24590918234</v>
      </c>
      <c r="G29" s="146">
        <f>-'10-Annet'!G4</f>
        <v>138519.61448326238</v>
      </c>
      <c r="H29" s="146">
        <f>-'10-Annet'!H4</f>
        <v>0</v>
      </c>
      <c r="I29" s="146">
        <f>SUM(J29:L29)</f>
        <v>0</v>
      </c>
      <c r="J29" s="198">
        <f>-'10-Annet'!J4</f>
        <v>0</v>
      </c>
      <c r="K29" s="146">
        <f>-'10-Annet'!K4</f>
        <v>0</v>
      </c>
      <c r="L29" s="146">
        <f>-'10-Annet'!L4</f>
        <v>0</v>
      </c>
      <c r="M29" s="199">
        <f>SUM(E29:I29)</f>
        <v>366715.26400002837</v>
      </c>
      <c r="N29" s="204"/>
      <c r="O29" s="146"/>
      <c r="P29" s="57"/>
    </row>
    <row r="30" spans="2:16" x14ac:dyDescent="0.25">
      <c r="C30" s="49">
        <v>10</v>
      </c>
      <c r="D30" s="50" t="s">
        <v>115</v>
      </c>
      <c r="E30" s="146">
        <f>-'10-Annet'!E5</f>
        <v>-13743062.908484224</v>
      </c>
      <c r="F30" s="146">
        <f>-'10-Annet'!F5</f>
        <v>-9474908.216561012</v>
      </c>
      <c r="G30" s="146">
        <f>-'10-Annet'!G5</f>
        <v>-14093802.472288094</v>
      </c>
      <c r="H30" s="146">
        <f>-'10-Annet'!H5</f>
        <v>0</v>
      </c>
      <c r="I30" s="146">
        <f>SUM(J30:L30)</f>
        <v>37311773.597333334</v>
      </c>
      <c r="J30" s="198">
        <f>-'10-Annet'!J5</f>
        <v>9388784.5973333344</v>
      </c>
      <c r="K30" s="146">
        <f>-'10-Annet'!K5</f>
        <v>0</v>
      </c>
      <c r="L30" s="146">
        <f>-'10-Annet'!L5</f>
        <v>27922989</v>
      </c>
      <c r="M30" s="199">
        <f>SUM(E30:I30)</f>
        <v>0</v>
      </c>
      <c r="N30" s="204"/>
      <c r="O30" s="146"/>
      <c r="P30" s="57"/>
    </row>
    <row r="31" spans="2:16" x14ac:dyDescent="0.25">
      <c r="B31" s="1" t="s">
        <v>53</v>
      </c>
      <c r="E31" s="200">
        <f>SUM(E29:E30)</f>
        <v>-13607990.50487664</v>
      </c>
      <c r="F31" s="200">
        <f>SUM(F29:F30)</f>
        <v>-9381784.9706518296</v>
      </c>
      <c r="G31" s="200">
        <f>SUM(G29:G30)</f>
        <v>-13955282.857804833</v>
      </c>
      <c r="H31" s="200">
        <f>SUM(H29:H30)</f>
        <v>0</v>
      </c>
      <c r="I31" s="210">
        <f>SUM(J31:L31)</f>
        <v>37311773.597333334</v>
      </c>
      <c r="J31" s="211">
        <f>SUM(J29:J30)</f>
        <v>9388784.5973333344</v>
      </c>
      <c r="K31" s="210">
        <f>SUM(K29:K30)</f>
        <v>0</v>
      </c>
      <c r="L31" s="210">
        <f>SUM(L29:L30)</f>
        <v>27922989</v>
      </c>
      <c r="M31" s="202">
        <f>SUM(E31:I31)</f>
        <v>366715.26400002837</v>
      </c>
      <c r="N31" s="203">
        <f>SUM(N30:N30)</f>
        <v>0</v>
      </c>
      <c r="O31" s="200">
        <f>N31-M31</f>
        <v>-366715.26400002837</v>
      </c>
      <c r="P31" s="58" t="str">
        <f>IFERROR(O31/N31,"-")</f>
        <v>-</v>
      </c>
    </row>
    <row r="32" spans="2:16" x14ac:dyDescent="0.25">
      <c r="E32" s="146"/>
      <c r="F32" s="146"/>
      <c r="G32" s="146"/>
      <c r="H32" s="193"/>
      <c r="I32" s="146"/>
      <c r="J32" s="198"/>
      <c r="K32" s="146"/>
      <c r="L32" s="146"/>
      <c r="M32" s="199"/>
      <c r="N32" s="204"/>
      <c r="O32" s="146"/>
      <c r="P32" s="57"/>
    </row>
    <row r="33" spans="2:16" x14ac:dyDescent="0.25">
      <c r="B33" s="1" t="s">
        <v>19</v>
      </c>
      <c r="C33" s="295">
        <f>B1</f>
        <v>2013</v>
      </c>
      <c r="D33" s="295"/>
      <c r="E33" s="146"/>
      <c r="F33" s="146"/>
      <c r="G33" s="146"/>
      <c r="H33" s="193"/>
      <c r="I33" s="146"/>
      <c r="J33" s="198"/>
      <c r="K33" s="146"/>
      <c r="L33" s="146"/>
      <c r="M33" s="199"/>
      <c r="N33" s="204"/>
      <c r="O33" s="146"/>
      <c r="P33" s="57"/>
    </row>
    <row r="34" spans="2:16" ht="16.5" thickBot="1" x14ac:dyDescent="0.3">
      <c r="B34" s="1" t="s">
        <v>54</v>
      </c>
      <c r="E34" s="190">
        <f>E26+E31</f>
        <v>63177300.673790023</v>
      </c>
      <c r="F34" s="190">
        <f>F26+F31</f>
        <v>46092006.930681504</v>
      </c>
      <c r="G34" s="190">
        <f>G26+G31</f>
        <v>67891203.395528495</v>
      </c>
      <c r="H34" s="190">
        <f>H26+H31</f>
        <v>1616500</v>
      </c>
      <c r="I34" s="190">
        <f>SUM(J34:L34)</f>
        <v>43782989</v>
      </c>
      <c r="J34" s="212">
        <f>J26+J31</f>
        <v>9935000.0000000019</v>
      </c>
      <c r="K34" s="190">
        <f>K26+K31</f>
        <v>5525000</v>
      </c>
      <c r="L34" s="190">
        <f>L26+L31</f>
        <v>28322989</v>
      </c>
      <c r="M34" s="191">
        <f>SUM(E34:I34)</f>
        <v>222560000.00000003</v>
      </c>
      <c r="N34" s="213">
        <f>N26+N31</f>
        <v>222560000</v>
      </c>
      <c r="O34" s="190">
        <f>N34-M34</f>
        <v>0</v>
      </c>
      <c r="P34" s="60">
        <f>IFERROR(O34/N34,"-")</f>
        <v>0</v>
      </c>
    </row>
    <row r="35" spans="2:16" ht="16.5" thickTop="1" x14ac:dyDescent="0.25">
      <c r="E35" s="146"/>
      <c r="F35" s="146"/>
      <c r="G35" s="146"/>
      <c r="H35" s="193"/>
      <c r="I35" s="146"/>
      <c r="J35" s="146"/>
      <c r="K35" s="146"/>
      <c r="L35" s="146"/>
      <c r="M35" s="146"/>
      <c r="N35" s="146"/>
      <c r="O35" s="146"/>
    </row>
    <row r="36" spans="2:16" ht="16.5" thickBot="1" x14ac:dyDescent="0.3">
      <c r="B36" s="1" t="s">
        <v>19</v>
      </c>
      <c r="C36" s="295">
        <f>B1-1</f>
        <v>2012</v>
      </c>
      <c r="D36" s="295"/>
      <c r="E36" s="244">
        <f>44024558+8596974+1187690+0+1166000</f>
        <v>54975222</v>
      </c>
      <c r="F36" s="244">
        <f>37356408+5642474+1230937+0-477000</f>
        <v>43752819</v>
      </c>
      <c r="G36" s="244">
        <f>42971248+12568528+10192017+2236866+2552679+621302-K36-689000</f>
        <v>64928640</v>
      </c>
      <c r="H36" s="244">
        <v>860000</v>
      </c>
      <c r="I36" s="190">
        <f>SUM(J36:L36)</f>
        <v>46493319</v>
      </c>
      <c r="J36" s="245">
        <v>10638830</v>
      </c>
      <c r="K36" s="244">
        <v>5525000</v>
      </c>
      <c r="L36" s="244">
        <v>30329489</v>
      </c>
      <c r="M36" s="191">
        <f>SUM(E36:I36)</f>
        <v>211010000</v>
      </c>
      <c r="N36" s="244">
        <f>208510000+1500000</f>
        <v>210010000</v>
      </c>
      <c r="O36" s="192">
        <f>N36-M36</f>
        <v>-1000000</v>
      </c>
      <c r="P36" s="60">
        <f>IFERROR(O36/N36,"-")</f>
        <v>-4.7616780153326033E-3</v>
      </c>
    </row>
    <row r="37" spans="2:16" ht="16.5" thickTop="1" x14ac:dyDescent="0.25">
      <c r="E37" s="146"/>
      <c r="F37" s="146"/>
      <c r="G37" s="146"/>
      <c r="H37" s="193"/>
      <c r="I37" s="146"/>
      <c r="J37" s="146"/>
      <c r="K37" s="146"/>
      <c r="L37" s="146"/>
      <c r="M37" s="146"/>
      <c r="N37" s="146"/>
      <c r="O37" s="146"/>
    </row>
    <row r="38" spans="2:16" x14ac:dyDescent="0.25">
      <c r="B38" s="1" t="s">
        <v>38</v>
      </c>
      <c r="E38" s="63">
        <f>E34-E36</f>
        <v>8202078.6737900227</v>
      </c>
      <c r="F38" s="63">
        <f>F34-F36</f>
        <v>2339187.9306815043</v>
      </c>
      <c r="G38" s="63">
        <f>G34-G36</f>
        <v>2962563.3955284953</v>
      </c>
      <c r="H38" s="63">
        <f>H34-H36</f>
        <v>756500</v>
      </c>
      <c r="I38" s="63">
        <f>SUM(J38:L38)</f>
        <v>-2710329.9999999981</v>
      </c>
      <c r="J38" s="64">
        <f>J34-J36</f>
        <v>-703829.99999999814</v>
      </c>
      <c r="K38" s="63">
        <f>K34-K36</f>
        <v>0</v>
      </c>
      <c r="L38" s="63">
        <f>L34-L36</f>
        <v>-2006500</v>
      </c>
      <c r="M38" s="65">
        <f>SUM(E38:I38)</f>
        <v>11550000.000000024</v>
      </c>
      <c r="N38" s="63">
        <f>N34-N36</f>
        <v>12550000</v>
      </c>
      <c r="O38" s="194"/>
      <c r="P38" s="62"/>
    </row>
    <row r="39" spans="2:16" ht="16.5" thickBot="1" x14ac:dyDescent="0.3">
      <c r="B39" s="1" t="s">
        <v>47</v>
      </c>
      <c r="E39" s="195">
        <f t="shared" ref="E39:N39" si="4">IFERROR(E38/E36,"-")</f>
        <v>0.14919591727687834</v>
      </c>
      <c r="F39" s="195">
        <f t="shared" si="4"/>
        <v>5.3463707805467442E-2</v>
      </c>
      <c r="G39" s="195">
        <f t="shared" si="4"/>
        <v>4.5627990907071134E-2</v>
      </c>
      <c r="H39" s="195">
        <f t="shared" si="4"/>
        <v>0.87965116279069766</v>
      </c>
      <c r="I39" s="195">
        <f t="shared" si="4"/>
        <v>-5.8295042347912357E-2</v>
      </c>
      <c r="J39" s="196">
        <f t="shared" si="4"/>
        <v>-6.6156710841323546E-2</v>
      </c>
      <c r="K39" s="195">
        <f t="shared" si="4"/>
        <v>0</v>
      </c>
      <c r="L39" s="195">
        <f t="shared" si="4"/>
        <v>-6.6156736105906694E-2</v>
      </c>
      <c r="M39" s="197">
        <f t="shared" si="4"/>
        <v>5.4736742334486631E-2</v>
      </c>
      <c r="N39" s="195">
        <f t="shared" si="4"/>
        <v>5.9759059092424169E-2</v>
      </c>
      <c r="O39" s="61"/>
      <c r="P39" s="62"/>
    </row>
    <row r="42" spans="2:16" x14ac:dyDescent="0.25">
      <c r="E42" s="146"/>
      <c r="F42" s="146"/>
      <c r="G42" s="146"/>
      <c r="H42" s="146"/>
      <c r="J42" s="146"/>
    </row>
    <row r="43" spans="2:16" x14ac:dyDescent="0.25">
      <c r="E43" s="146"/>
      <c r="F43" s="146"/>
      <c r="G43" s="146"/>
      <c r="H43" s="146"/>
      <c r="J43" s="146"/>
    </row>
  </sheetData>
  <sheetProtection password="F489" sheet="1" objects="1" scenarios="1" selectLockedCells="1"/>
  <mergeCells count="2">
    <mergeCell ref="C33:D33"/>
    <mergeCell ref="C36:D3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&amp;L&amp;F: &amp;A&amp;C&amp;D&amp;RSide &amp;P av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Z63"/>
  <sheetViews>
    <sheetView zoomScale="85" zoomScaleNormal="85" workbookViewId="0">
      <selection activeCell="E43" sqref="E43"/>
    </sheetView>
  </sheetViews>
  <sheetFormatPr defaultRowHeight="15" outlineLevelCol="1" x14ac:dyDescent="0.25"/>
  <cols>
    <col min="1" max="3" width="2.7109375" customWidth="1"/>
    <col min="4" max="4" width="41.4257812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4" width="10.7109375" bestFit="1" customWidth="1"/>
    <col min="25" max="25" width="11.42578125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77</v>
      </c>
    </row>
    <row r="2" spans="4:26" ht="15.75" thickBot="1" x14ac:dyDescent="0.3"/>
    <row r="3" spans="4:26" s="1" customFormat="1" ht="31.5" x14ac:dyDescent="0.25">
      <c r="D3" s="109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/>
      <c r="P3"/>
      <c r="Q3"/>
      <c r="R3"/>
      <c r="S3"/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108" t="s">
        <v>22</v>
      </c>
      <c r="E4" s="149">
        <f>E7</f>
        <v>2250000</v>
      </c>
      <c r="F4" s="148">
        <f>F7</f>
        <v>0</v>
      </c>
      <c r="G4" s="148">
        <f>G7</f>
        <v>11453785</v>
      </c>
      <c r="H4" s="148">
        <f>H7</f>
        <v>430000</v>
      </c>
      <c r="I4" s="134">
        <f>SUM(J4:L4)</f>
        <v>5925000</v>
      </c>
      <c r="J4" s="148">
        <f>J7</f>
        <v>0</v>
      </c>
      <c r="K4" s="148">
        <f>K7</f>
        <v>5525000</v>
      </c>
      <c r="L4" s="148">
        <f>L7</f>
        <v>400000</v>
      </c>
      <c r="M4" s="135">
        <f>SUM(E4:I4)</f>
        <v>20058785</v>
      </c>
      <c r="V4" s="297"/>
      <c r="W4" s="85">
        <f>'0-Total'!N22</f>
        <v>36554000</v>
      </c>
      <c r="X4" s="85">
        <f>M4</f>
        <v>20058785</v>
      </c>
      <c r="Y4" s="86">
        <f>W4-X4</f>
        <v>16495215</v>
      </c>
      <c r="Z4" s="87">
        <f>IFERROR(Y4/W4,"-")</f>
        <v>0.45125608688515623</v>
      </c>
    </row>
    <row r="5" spans="4:26" x14ac:dyDescent="0.25">
      <c r="D5" s="102"/>
      <c r="E5" s="129"/>
      <c r="F5" s="129"/>
      <c r="G5" s="129"/>
      <c r="H5" s="129"/>
      <c r="I5" s="129"/>
      <c r="J5" s="129"/>
      <c r="K5" s="129"/>
      <c r="L5" s="129"/>
      <c r="M5" s="129"/>
      <c r="Q5" s="146"/>
    </row>
    <row r="6" spans="4:26" ht="15.75" x14ac:dyDescent="0.25">
      <c r="D6" s="9" t="s">
        <v>84</v>
      </c>
      <c r="E6" s="136" t="s">
        <v>13</v>
      </c>
      <c r="F6" s="137" t="s">
        <v>14</v>
      </c>
      <c r="G6" s="137" t="s">
        <v>121</v>
      </c>
      <c r="H6" s="137" t="s">
        <v>16</v>
      </c>
      <c r="I6" s="130" t="s">
        <v>15</v>
      </c>
      <c r="J6" s="137" t="s">
        <v>17</v>
      </c>
      <c r="K6" s="137" t="s">
        <v>21</v>
      </c>
      <c r="L6" s="137" t="s">
        <v>18</v>
      </c>
      <c r="M6" s="136" t="s">
        <v>19</v>
      </c>
    </row>
    <row r="7" spans="4:26" ht="15.75" thickBot="1" x14ac:dyDescent="0.3">
      <c r="D7" s="13" t="s">
        <v>22</v>
      </c>
      <c r="E7" s="110">
        <f>SUM(E8:E10)</f>
        <v>2250000</v>
      </c>
      <c r="F7" s="111">
        <f>SUM(F8:F10)</f>
        <v>0</v>
      </c>
      <c r="G7" s="111">
        <f>SUM(G8:G10)</f>
        <v>11453785</v>
      </c>
      <c r="H7" s="111">
        <f>SUM(H8:H10)</f>
        <v>430000</v>
      </c>
      <c r="I7" s="112">
        <f>SUM(I12:I13)</f>
        <v>5925000</v>
      </c>
      <c r="J7" s="111">
        <f>SUM(J8:J10)</f>
        <v>0</v>
      </c>
      <c r="K7" s="111">
        <f>SUM(K8:K10)</f>
        <v>5525000</v>
      </c>
      <c r="L7" s="111">
        <f>SUM(L8:L10)</f>
        <v>400000</v>
      </c>
      <c r="M7" s="110">
        <f t="shared" ref="M7:M13" si="0">SUM(E7:I7)</f>
        <v>20058785</v>
      </c>
    </row>
    <row r="8" spans="4:26" s="150" customFormat="1" ht="15.75" thickTop="1" x14ac:dyDescent="0.25">
      <c r="D8" s="138" t="s">
        <v>76</v>
      </c>
      <c r="E8" s="113">
        <f>E17</f>
        <v>2250000</v>
      </c>
      <c r="F8" s="147">
        <f>F17</f>
        <v>0</v>
      </c>
      <c r="G8" s="147">
        <f>G17</f>
        <v>2000000</v>
      </c>
      <c r="H8" s="115">
        <f>H17</f>
        <v>0</v>
      </c>
      <c r="I8" s="114">
        <f t="shared" ref="I8:I13" si="1">SUM(J8:L8)</f>
        <v>0</v>
      </c>
      <c r="J8" s="115">
        <f>J17</f>
        <v>0</v>
      </c>
      <c r="K8" s="115">
        <f>K17</f>
        <v>0</v>
      </c>
      <c r="L8" s="115">
        <f>L17</f>
        <v>0</v>
      </c>
      <c r="M8" s="113">
        <f t="shared" si="0"/>
        <v>4250000</v>
      </c>
    </row>
    <row r="9" spans="4:26" s="150" customFormat="1" x14ac:dyDescent="0.25">
      <c r="D9" s="138" t="s">
        <v>78</v>
      </c>
      <c r="E9" s="113">
        <f>E27</f>
        <v>0</v>
      </c>
      <c r="F9" s="115">
        <f>F27</f>
        <v>0</v>
      </c>
      <c r="G9" s="115">
        <f>G27</f>
        <v>3684116</v>
      </c>
      <c r="H9" s="115">
        <f>H27</f>
        <v>0</v>
      </c>
      <c r="I9" s="114">
        <f t="shared" si="1"/>
        <v>400000</v>
      </c>
      <c r="J9" s="115">
        <f>J27</f>
        <v>0</v>
      </c>
      <c r="K9" s="115">
        <f>K27</f>
        <v>0</v>
      </c>
      <c r="L9" s="115">
        <f>L27</f>
        <v>400000</v>
      </c>
      <c r="M9" s="113">
        <f t="shared" si="0"/>
        <v>4084116</v>
      </c>
    </row>
    <row r="10" spans="4:26" s="150" customFormat="1" x14ac:dyDescent="0.25">
      <c r="D10" s="138" t="s">
        <v>79</v>
      </c>
      <c r="E10" s="113">
        <f>E40</f>
        <v>0</v>
      </c>
      <c r="F10" s="115">
        <f>F40</f>
        <v>0</v>
      </c>
      <c r="G10" s="115">
        <f>G40</f>
        <v>5769669</v>
      </c>
      <c r="H10" s="115">
        <f>H40</f>
        <v>430000</v>
      </c>
      <c r="I10" s="114">
        <f t="shared" si="1"/>
        <v>5525000</v>
      </c>
      <c r="J10" s="115">
        <f>J40</f>
        <v>0</v>
      </c>
      <c r="K10" s="115">
        <f>K40</f>
        <v>5525000</v>
      </c>
      <c r="L10" s="115">
        <f>L40</f>
        <v>0</v>
      </c>
      <c r="M10" s="113">
        <f t="shared" si="0"/>
        <v>11724669</v>
      </c>
    </row>
    <row r="11" spans="4:26" s="150" customFormat="1" x14ac:dyDescent="0.25">
      <c r="D11" s="131" t="s">
        <v>89</v>
      </c>
      <c r="E11" s="132"/>
      <c r="F11" s="118"/>
      <c r="G11" s="118"/>
      <c r="H11" s="118"/>
      <c r="I11" s="119"/>
      <c r="J11" s="118"/>
      <c r="K11" s="118"/>
      <c r="L11" s="120"/>
      <c r="M11" s="132"/>
    </row>
    <row r="12" spans="4:26" x14ac:dyDescent="0.25">
      <c r="D12" s="117" t="s">
        <v>87</v>
      </c>
      <c r="E12" s="132">
        <f>SUMIF($N16:$N46,"=V",E16:E46)</f>
        <v>0</v>
      </c>
      <c r="F12" s="118">
        <f>SUMIF($N16:$N46,"=V",F16:F46)</f>
        <v>0</v>
      </c>
      <c r="G12" s="118">
        <f>SUMIF($N16:$N46,"=V",G16:G46)</f>
        <v>919882</v>
      </c>
      <c r="H12" s="118">
        <f>SUMIF($N16:$N46,"=V",H16:H46)</f>
        <v>0</v>
      </c>
      <c r="I12" s="118">
        <f t="shared" si="1"/>
        <v>400000</v>
      </c>
      <c r="J12" s="133">
        <f>SUMIF($N16:$N46,"=V",J16:J46)</f>
        <v>0</v>
      </c>
      <c r="K12" s="118">
        <f>SUMIF($N16:$N46,"=V",K16:K46)</f>
        <v>0</v>
      </c>
      <c r="L12" s="118">
        <f>SUMIF($N16:$N46,"=V",L16:L46)</f>
        <v>400000</v>
      </c>
      <c r="M12" s="132">
        <f t="shared" si="0"/>
        <v>1319882</v>
      </c>
    </row>
    <row r="13" spans="4:26" x14ac:dyDescent="0.25">
      <c r="D13" s="117" t="s">
        <v>88</v>
      </c>
      <c r="E13" s="132">
        <f>SUMIF($N16:$N46,"=M",E16:E46)</f>
        <v>2250000</v>
      </c>
      <c r="F13" s="118">
        <f>SUMIF($N16:$N46,"=M",F16:F46)</f>
        <v>0</v>
      </c>
      <c r="G13" s="118">
        <f>SUMIF($N16:$N46,"=M",G16:G46)</f>
        <v>7769669</v>
      </c>
      <c r="H13" s="118">
        <f>SUMIF($N16:$N46,"=M",H16:H46)</f>
        <v>430000</v>
      </c>
      <c r="I13" s="118">
        <f t="shared" si="1"/>
        <v>5525000</v>
      </c>
      <c r="J13" s="133">
        <f>SUMIF($N16:$N46,"=M",J16:J46)</f>
        <v>0</v>
      </c>
      <c r="K13" s="118">
        <f>SUMIF($N16:$N46,"=M",K16:K46)</f>
        <v>5525000</v>
      </c>
      <c r="L13" s="118">
        <f>SUMIF($N16:$N46,"=M",L16:L46)</f>
        <v>0</v>
      </c>
      <c r="M13" s="132">
        <f t="shared" si="0"/>
        <v>15974669</v>
      </c>
    </row>
    <row r="16" spans="4:26" ht="15.75" x14ac:dyDescent="0.25">
      <c r="D16" s="9" t="s">
        <v>76</v>
      </c>
      <c r="E16" s="10" t="s">
        <v>13</v>
      </c>
      <c r="F16" s="11" t="s">
        <v>14</v>
      </c>
      <c r="G16" s="11" t="s">
        <v>121</v>
      </c>
      <c r="H16" s="11" t="s">
        <v>16</v>
      </c>
      <c r="I16" s="12" t="s">
        <v>15</v>
      </c>
      <c r="J16" s="11" t="s">
        <v>17</v>
      </c>
      <c r="K16" s="11" t="s">
        <v>21</v>
      </c>
      <c r="L16" s="11" t="s">
        <v>18</v>
      </c>
      <c r="M16" s="10" t="s">
        <v>19</v>
      </c>
    </row>
    <row r="17" spans="4:14" ht="15.75" thickBot="1" x14ac:dyDescent="0.3">
      <c r="D17" s="13"/>
      <c r="E17" s="110">
        <f>SUM(E18:E23)</f>
        <v>2250000</v>
      </c>
      <c r="F17" s="111">
        <f t="shared" ref="F17:L17" si="2">SUM(F18:F23)</f>
        <v>0</v>
      </c>
      <c r="G17" s="111">
        <f t="shared" si="2"/>
        <v>2000000</v>
      </c>
      <c r="H17" s="111">
        <f>SUM(H18:H23)</f>
        <v>0</v>
      </c>
      <c r="I17" s="112">
        <f t="shared" si="2"/>
        <v>0</v>
      </c>
      <c r="J17" s="111">
        <f t="shared" si="2"/>
        <v>0</v>
      </c>
      <c r="K17" s="111">
        <f t="shared" si="2"/>
        <v>0</v>
      </c>
      <c r="L17" s="111">
        <f t="shared" si="2"/>
        <v>0</v>
      </c>
      <c r="M17" s="110">
        <f t="shared" ref="M17:M23" si="3">SUM(E17:I17)</f>
        <v>4250000</v>
      </c>
    </row>
    <row r="18" spans="4:14" ht="15.75" thickTop="1" x14ac:dyDescent="0.25">
      <c r="D18" s="287" t="s">
        <v>75</v>
      </c>
      <c r="E18" s="260"/>
      <c r="F18" s="248"/>
      <c r="G18" s="248">
        <v>2000000</v>
      </c>
      <c r="H18" s="290"/>
      <c r="I18" s="114">
        <f t="shared" ref="I18:I23" si="4">SUM(J18:L18)</f>
        <v>0</v>
      </c>
      <c r="J18" s="290"/>
      <c r="K18" s="290"/>
      <c r="L18" s="288"/>
      <c r="M18" s="113">
        <f t="shared" si="3"/>
        <v>2000000</v>
      </c>
      <c r="N18" s="284" t="s">
        <v>85</v>
      </c>
    </row>
    <row r="19" spans="4:14" x14ac:dyDescent="0.25">
      <c r="D19" s="287" t="s">
        <v>74</v>
      </c>
      <c r="E19" s="260">
        <v>750000</v>
      </c>
      <c r="F19" s="248"/>
      <c r="G19" s="248"/>
      <c r="H19" s="288"/>
      <c r="I19" s="114">
        <f t="shared" si="4"/>
        <v>0</v>
      </c>
      <c r="J19" s="288"/>
      <c r="K19" s="288"/>
      <c r="L19" s="288"/>
      <c r="M19" s="113">
        <f t="shared" si="3"/>
        <v>750000</v>
      </c>
      <c r="N19" s="284" t="s">
        <v>85</v>
      </c>
    </row>
    <row r="20" spans="4:14" x14ac:dyDescent="0.25">
      <c r="D20" s="287" t="s">
        <v>120</v>
      </c>
      <c r="E20" s="260">
        <v>1500000</v>
      </c>
      <c r="F20" s="248"/>
      <c r="G20" s="248"/>
      <c r="H20" s="288"/>
      <c r="I20" s="114">
        <f t="shared" si="4"/>
        <v>0</v>
      </c>
      <c r="J20" s="288"/>
      <c r="K20" s="288"/>
      <c r="L20" s="288"/>
      <c r="M20" s="113">
        <f t="shared" si="3"/>
        <v>1500000</v>
      </c>
      <c r="N20" s="284" t="s">
        <v>85</v>
      </c>
    </row>
    <row r="21" spans="4:14" x14ac:dyDescent="0.25">
      <c r="D21" s="291"/>
      <c r="E21" s="289"/>
      <c r="F21" s="288"/>
      <c r="G21" s="288"/>
      <c r="H21" s="288"/>
      <c r="I21" s="114">
        <f t="shared" si="4"/>
        <v>0</v>
      </c>
      <c r="J21" s="288"/>
      <c r="K21" s="288"/>
      <c r="L21" s="288"/>
      <c r="M21" s="113">
        <f t="shared" si="3"/>
        <v>0</v>
      </c>
      <c r="N21" s="284"/>
    </row>
    <row r="22" spans="4:14" x14ac:dyDescent="0.25">
      <c r="D22" s="291"/>
      <c r="E22" s="289"/>
      <c r="F22" s="288"/>
      <c r="G22" s="288"/>
      <c r="H22" s="288"/>
      <c r="I22" s="114">
        <f t="shared" si="4"/>
        <v>0</v>
      </c>
      <c r="J22" s="288"/>
      <c r="K22" s="288"/>
      <c r="L22" s="288"/>
      <c r="M22" s="113">
        <f t="shared" si="3"/>
        <v>0</v>
      </c>
      <c r="N22" s="284"/>
    </row>
    <row r="23" spans="4:14" x14ac:dyDescent="0.25">
      <c r="D23" s="291"/>
      <c r="E23" s="289"/>
      <c r="F23" s="288"/>
      <c r="G23" s="288"/>
      <c r="H23" s="288"/>
      <c r="I23" s="114">
        <f t="shared" si="4"/>
        <v>0</v>
      </c>
      <c r="J23" s="288"/>
      <c r="K23" s="288"/>
      <c r="L23" s="288"/>
      <c r="M23" s="113">
        <f t="shared" si="3"/>
        <v>0</v>
      </c>
      <c r="N23" s="284"/>
    </row>
    <row r="26" spans="4:14" ht="15.75" x14ac:dyDescent="0.25">
      <c r="D26" s="9" t="s">
        <v>78</v>
      </c>
      <c r="E26" s="10" t="s">
        <v>13</v>
      </c>
      <c r="F26" s="11" t="s">
        <v>14</v>
      </c>
      <c r="G26" s="11" t="s">
        <v>121</v>
      </c>
      <c r="H26" s="11" t="s">
        <v>16</v>
      </c>
      <c r="I26" s="12" t="s">
        <v>15</v>
      </c>
      <c r="J26" s="11" t="s">
        <v>17</v>
      </c>
      <c r="K26" s="11" t="s">
        <v>21</v>
      </c>
      <c r="L26" s="11" t="s">
        <v>18</v>
      </c>
      <c r="M26" s="10" t="s">
        <v>19</v>
      </c>
    </row>
    <row r="27" spans="4:14" ht="15.75" thickBot="1" x14ac:dyDescent="0.3">
      <c r="D27" s="13"/>
      <c r="E27" s="110">
        <f>SUM(E28:E36)</f>
        <v>0</v>
      </c>
      <c r="F27" s="111">
        <f>SUM(F28:F36)</f>
        <v>0</v>
      </c>
      <c r="G27" s="111">
        <f>SUM(G28:G36)</f>
        <v>3684116</v>
      </c>
      <c r="H27" s="111">
        <f>SUM(H28:H36)</f>
        <v>0</v>
      </c>
      <c r="I27" s="112">
        <f>SUM(I32:I36)</f>
        <v>0</v>
      </c>
      <c r="J27" s="111">
        <f>SUM(J28:J36)</f>
        <v>0</v>
      </c>
      <c r="K27" s="111">
        <f>SUM(K28:K36)</f>
        <v>0</v>
      </c>
      <c r="L27" s="111">
        <f>SUM(L28:L36)</f>
        <v>400000</v>
      </c>
      <c r="M27" s="110">
        <f>SUM(E27:I27)</f>
        <v>3684116</v>
      </c>
    </row>
    <row r="28" spans="4:14" s="150" customFormat="1" ht="15.75" thickTop="1" x14ac:dyDescent="0.25">
      <c r="D28" s="287" t="s">
        <v>83</v>
      </c>
      <c r="E28" s="260"/>
      <c r="F28" s="248"/>
      <c r="G28" s="248">
        <v>919882</v>
      </c>
      <c r="H28" s="248"/>
      <c r="I28" s="114">
        <f t="shared" ref="I28:I36" si="5">SUM(J28:L28)</f>
        <v>0</v>
      </c>
      <c r="J28" s="248"/>
      <c r="K28" s="248"/>
      <c r="L28" s="248"/>
      <c r="M28" s="113">
        <f t="shared" ref="M28:M36" si="6">SUM(E28:I28)</f>
        <v>919882</v>
      </c>
      <c r="N28" s="284" t="s">
        <v>86</v>
      </c>
    </row>
    <row r="29" spans="4:14" s="150" customFormat="1" x14ac:dyDescent="0.25">
      <c r="D29" s="287" t="s">
        <v>80</v>
      </c>
      <c r="E29" s="260">
        <v>0</v>
      </c>
      <c r="F29" s="248"/>
      <c r="G29" s="248"/>
      <c r="H29" s="248"/>
      <c r="I29" s="114">
        <f t="shared" si="5"/>
        <v>0</v>
      </c>
      <c r="J29" s="248"/>
      <c r="K29" s="248"/>
      <c r="L29" s="248"/>
      <c r="M29" s="113">
        <f t="shared" si="6"/>
        <v>0</v>
      </c>
      <c r="N29" s="284" t="s">
        <v>86</v>
      </c>
    </row>
    <row r="30" spans="4:14" s="150" customFormat="1" x14ac:dyDescent="0.25">
      <c r="D30" s="287" t="s">
        <v>82</v>
      </c>
      <c r="E30" s="260">
        <v>0</v>
      </c>
      <c r="F30" s="248"/>
      <c r="G30" s="248"/>
      <c r="H30" s="248"/>
      <c r="I30" s="114">
        <f t="shared" si="5"/>
        <v>0</v>
      </c>
      <c r="J30" s="248"/>
      <c r="K30" s="248"/>
      <c r="L30" s="248"/>
      <c r="M30" s="113">
        <f t="shared" si="6"/>
        <v>0</v>
      </c>
      <c r="N30" s="284" t="s">
        <v>86</v>
      </c>
    </row>
    <row r="31" spans="4:14" s="150" customFormat="1" x14ac:dyDescent="0.25">
      <c r="D31" s="287" t="s">
        <v>81</v>
      </c>
      <c r="E31" s="260">
        <v>0</v>
      </c>
      <c r="F31" s="248"/>
      <c r="G31" s="248"/>
      <c r="H31" s="248"/>
      <c r="I31" s="114">
        <f t="shared" si="5"/>
        <v>400000</v>
      </c>
      <c r="J31" s="248"/>
      <c r="K31" s="248"/>
      <c r="L31" s="248">
        <v>400000</v>
      </c>
      <c r="M31" s="113">
        <f t="shared" si="6"/>
        <v>400000</v>
      </c>
      <c r="N31" s="284" t="s">
        <v>86</v>
      </c>
    </row>
    <row r="32" spans="4:14" x14ac:dyDescent="0.25">
      <c r="D32" s="285" t="s">
        <v>91</v>
      </c>
      <c r="E32" s="260"/>
      <c r="F32" s="288"/>
      <c r="G32" s="288">
        <v>2764234</v>
      </c>
      <c r="H32" s="288"/>
      <c r="I32" s="114">
        <f t="shared" si="5"/>
        <v>0</v>
      </c>
      <c r="J32" s="288"/>
      <c r="K32" s="288"/>
      <c r="L32" s="288"/>
      <c r="M32" s="113">
        <f t="shared" si="6"/>
        <v>2764234</v>
      </c>
      <c r="N32" s="284"/>
    </row>
    <row r="33" spans="3:14" x14ac:dyDescent="0.25">
      <c r="D33" s="285" t="s">
        <v>92</v>
      </c>
      <c r="E33" s="289"/>
      <c r="F33" s="288"/>
      <c r="G33" s="288">
        <v>0</v>
      </c>
      <c r="H33" s="288"/>
      <c r="I33" s="114">
        <f t="shared" si="5"/>
        <v>0</v>
      </c>
      <c r="J33" s="288"/>
      <c r="K33" s="288"/>
      <c r="L33" s="288"/>
      <c r="M33" s="113">
        <f t="shared" si="6"/>
        <v>0</v>
      </c>
      <c r="N33" s="284" t="s">
        <v>85</v>
      </c>
    </row>
    <row r="34" spans="3:14" s="150" customFormat="1" x14ac:dyDescent="0.25">
      <c r="D34" s="285"/>
      <c r="E34" s="289"/>
      <c r="F34" s="288"/>
      <c r="G34" s="288"/>
      <c r="H34" s="288"/>
      <c r="I34" s="114">
        <f t="shared" si="5"/>
        <v>0</v>
      </c>
      <c r="J34" s="248"/>
      <c r="K34" s="248"/>
      <c r="L34" s="248"/>
      <c r="M34" s="113">
        <f t="shared" si="6"/>
        <v>0</v>
      </c>
      <c r="N34" s="284"/>
    </row>
    <row r="35" spans="3:14" s="150" customFormat="1" x14ac:dyDescent="0.25">
      <c r="D35" s="285"/>
      <c r="E35" s="289"/>
      <c r="F35" s="288"/>
      <c r="G35" s="288"/>
      <c r="H35" s="288"/>
      <c r="I35" s="114">
        <f t="shared" si="5"/>
        <v>0</v>
      </c>
      <c r="J35" s="248"/>
      <c r="K35" s="248"/>
      <c r="L35" s="248"/>
      <c r="M35" s="113">
        <f t="shared" si="6"/>
        <v>0</v>
      </c>
      <c r="N35" s="284"/>
    </row>
    <row r="36" spans="3:14" s="150" customFormat="1" x14ac:dyDescent="0.25">
      <c r="D36" s="285"/>
      <c r="E36" s="289"/>
      <c r="F36" s="288"/>
      <c r="G36" s="288"/>
      <c r="H36" s="288"/>
      <c r="I36" s="114">
        <f t="shared" si="5"/>
        <v>0</v>
      </c>
      <c r="J36" s="248"/>
      <c r="K36" s="248"/>
      <c r="L36" s="248"/>
      <c r="M36" s="113">
        <f t="shared" si="6"/>
        <v>0</v>
      </c>
      <c r="N36" s="284"/>
    </row>
    <row r="39" spans="3:14" ht="15.75" x14ac:dyDescent="0.25">
      <c r="D39" s="9" t="s">
        <v>79</v>
      </c>
      <c r="E39" s="10" t="s">
        <v>13</v>
      </c>
      <c r="F39" s="11" t="s">
        <v>14</v>
      </c>
      <c r="G39" s="11" t="s">
        <v>121</v>
      </c>
      <c r="H39" s="11" t="s">
        <v>16</v>
      </c>
      <c r="I39" s="12" t="s">
        <v>15</v>
      </c>
      <c r="J39" s="11" t="s">
        <v>17</v>
      </c>
      <c r="K39" s="11" t="s">
        <v>21</v>
      </c>
      <c r="L39" s="11" t="s">
        <v>18</v>
      </c>
      <c r="M39" s="10" t="s">
        <v>19</v>
      </c>
    </row>
    <row r="40" spans="3:14" ht="15.75" thickBot="1" x14ac:dyDescent="0.3">
      <c r="D40" s="13"/>
      <c r="E40" s="70">
        <f>SUM(E41:E46)</f>
        <v>0</v>
      </c>
      <c r="F40" s="71">
        <f t="shared" ref="F40:L40" si="7">SUM(F41:F46)</f>
        <v>0</v>
      </c>
      <c r="G40" s="71">
        <f t="shared" si="7"/>
        <v>5769669</v>
      </c>
      <c r="H40" s="71">
        <f>SUM(H41:H46)</f>
        <v>430000</v>
      </c>
      <c r="I40" s="116">
        <f t="shared" si="7"/>
        <v>5525000</v>
      </c>
      <c r="J40" s="71">
        <f t="shared" si="7"/>
        <v>0</v>
      </c>
      <c r="K40" s="71">
        <f t="shared" si="7"/>
        <v>5525000</v>
      </c>
      <c r="L40" s="71">
        <f t="shared" si="7"/>
        <v>0</v>
      </c>
      <c r="M40" s="70">
        <f t="shared" ref="M40:M46" si="8">SUM(E40:I40)</f>
        <v>11724669</v>
      </c>
    </row>
    <row r="41" spans="3:14" ht="15.75" thickTop="1" x14ac:dyDescent="0.25">
      <c r="D41" s="285" t="s">
        <v>90</v>
      </c>
      <c r="E41" s="260"/>
      <c r="F41" s="286"/>
      <c r="G41" s="286">
        <v>1000000</v>
      </c>
      <c r="H41" s="286"/>
      <c r="I41" s="20">
        <f t="shared" ref="I41:I46" si="9">SUM(J41:L41)</f>
        <v>0</v>
      </c>
      <c r="J41" s="286"/>
      <c r="K41" s="286"/>
      <c r="L41" s="286"/>
      <c r="M41" s="73">
        <f t="shared" si="8"/>
        <v>1000000</v>
      </c>
      <c r="N41" s="284" t="s">
        <v>85</v>
      </c>
    </row>
    <row r="42" spans="3:14" x14ac:dyDescent="0.25">
      <c r="D42" s="285" t="s">
        <v>93</v>
      </c>
      <c r="E42" s="260"/>
      <c r="F42" s="286"/>
      <c r="G42" s="286">
        <v>4769669</v>
      </c>
      <c r="H42" s="286"/>
      <c r="I42" s="20">
        <f t="shared" si="9"/>
        <v>5525000</v>
      </c>
      <c r="J42" s="286"/>
      <c r="K42" s="286">
        <v>5525000</v>
      </c>
      <c r="L42" s="286"/>
      <c r="M42" s="73">
        <f t="shared" si="8"/>
        <v>10294669</v>
      </c>
      <c r="N42" s="284" t="s">
        <v>85</v>
      </c>
    </row>
    <row r="43" spans="3:14" x14ac:dyDescent="0.25">
      <c r="D43" s="285" t="s">
        <v>116</v>
      </c>
      <c r="E43" s="260"/>
      <c r="F43" s="286"/>
      <c r="G43" s="286"/>
      <c r="H43" s="286">
        <v>430000</v>
      </c>
      <c r="I43" s="20">
        <f t="shared" si="9"/>
        <v>0</v>
      </c>
      <c r="J43" s="286"/>
      <c r="K43" s="286"/>
      <c r="L43" s="286"/>
      <c r="M43" s="73">
        <f t="shared" si="8"/>
        <v>430000</v>
      </c>
      <c r="N43" s="284" t="s">
        <v>85</v>
      </c>
    </row>
    <row r="44" spans="3:14" x14ac:dyDescent="0.25">
      <c r="D44" s="285" t="s">
        <v>125</v>
      </c>
      <c r="E44" s="260">
        <f>1181250-1181250</f>
        <v>0</v>
      </c>
      <c r="F44" s="286"/>
      <c r="G44" s="286"/>
      <c r="H44" s="286"/>
      <c r="I44" s="20">
        <f t="shared" si="9"/>
        <v>0</v>
      </c>
      <c r="J44" s="286"/>
      <c r="K44" s="286"/>
      <c r="L44" s="286"/>
      <c r="M44" s="73">
        <f t="shared" si="8"/>
        <v>0</v>
      </c>
      <c r="N44" s="284"/>
    </row>
    <row r="45" spans="3:14" x14ac:dyDescent="0.25">
      <c r="D45" s="285"/>
      <c r="E45" s="260"/>
      <c r="F45" s="286"/>
      <c r="G45" s="286"/>
      <c r="H45" s="286"/>
      <c r="I45" s="20">
        <f t="shared" si="9"/>
        <v>0</v>
      </c>
      <c r="J45" s="286"/>
      <c r="K45" s="286"/>
      <c r="L45" s="286"/>
      <c r="M45" s="73">
        <f t="shared" si="8"/>
        <v>0</v>
      </c>
      <c r="N45" s="284"/>
    </row>
    <row r="46" spans="3:14" x14ac:dyDescent="0.25">
      <c r="D46" s="285"/>
      <c r="E46" s="260"/>
      <c r="F46" s="286"/>
      <c r="G46" s="286"/>
      <c r="H46" s="286"/>
      <c r="I46" s="20">
        <f t="shared" si="9"/>
        <v>0</v>
      </c>
      <c r="J46" s="286"/>
      <c r="K46" s="286"/>
      <c r="L46" s="286"/>
      <c r="M46" s="73">
        <f t="shared" si="8"/>
        <v>0</v>
      </c>
      <c r="N46" s="284"/>
    </row>
    <row r="47" spans="3:14" x14ac:dyDescent="0.25">
      <c r="D47" s="104"/>
      <c r="E47" s="105"/>
      <c r="F47" s="106"/>
      <c r="G47" s="106"/>
      <c r="H47" s="106"/>
      <c r="I47" s="105"/>
      <c r="J47" s="106"/>
      <c r="K47" s="106"/>
      <c r="L47" s="106"/>
      <c r="M47" s="105"/>
    </row>
    <row r="48" spans="3:14" x14ac:dyDescent="0.25">
      <c r="C48" s="103"/>
      <c r="D48" s="107" t="s">
        <v>39</v>
      </c>
      <c r="E48" s="105"/>
      <c r="F48" s="106"/>
      <c r="G48" s="106"/>
      <c r="H48" s="106"/>
      <c r="I48" s="105"/>
      <c r="J48" s="106"/>
      <c r="K48" s="106"/>
      <c r="L48" s="106"/>
      <c r="M48" s="105"/>
      <c r="N48" s="103"/>
    </row>
    <row r="49" spans="4:26" x14ac:dyDescent="0.25">
      <c r="D49" s="298"/>
      <c r="E49" s="299"/>
      <c r="F49" s="299"/>
      <c r="G49" s="299"/>
      <c r="H49" s="299"/>
      <c r="I49" s="299"/>
      <c r="J49" s="299"/>
      <c r="K49" s="299"/>
      <c r="L49" s="299"/>
      <c r="M49" s="300"/>
    </row>
    <row r="50" spans="4:26" x14ac:dyDescent="0.25">
      <c r="D50" s="301"/>
      <c r="E50" s="302"/>
      <c r="F50" s="302"/>
      <c r="G50" s="302"/>
      <c r="H50" s="302"/>
      <c r="I50" s="302"/>
      <c r="J50" s="302"/>
      <c r="K50" s="302"/>
      <c r="L50" s="302"/>
      <c r="M50" s="303"/>
    </row>
    <row r="51" spans="4:26" x14ac:dyDescent="0.25">
      <c r="D51" s="301"/>
      <c r="E51" s="302"/>
      <c r="F51" s="302"/>
      <c r="G51" s="302"/>
      <c r="H51" s="302"/>
      <c r="I51" s="302"/>
      <c r="J51" s="302"/>
      <c r="K51" s="302"/>
      <c r="L51" s="302"/>
      <c r="M51" s="303"/>
    </row>
    <row r="52" spans="4:26" x14ac:dyDescent="0.25">
      <c r="D52" s="301"/>
      <c r="E52" s="302"/>
      <c r="F52" s="302"/>
      <c r="G52" s="302"/>
      <c r="H52" s="302"/>
      <c r="I52" s="302"/>
      <c r="J52" s="302"/>
      <c r="K52" s="302"/>
      <c r="L52" s="302"/>
      <c r="M52" s="303"/>
    </row>
    <row r="53" spans="4:26" x14ac:dyDescent="0.25">
      <c r="D53" s="304"/>
      <c r="E53" s="305"/>
      <c r="F53" s="305"/>
      <c r="G53" s="305"/>
      <c r="H53" s="305"/>
      <c r="I53" s="305"/>
      <c r="J53" s="305"/>
      <c r="K53" s="305"/>
      <c r="L53" s="305"/>
      <c r="M53" s="306"/>
    </row>
    <row r="55" spans="4:26" ht="15.75" thickBot="1" x14ac:dyDescent="0.3">
      <c r="D55" s="241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</row>
    <row r="57" spans="4:26" ht="15.75" x14ac:dyDescent="0.25">
      <c r="D57" s="42"/>
      <c r="E57" s="43" t="s">
        <v>13</v>
      </c>
      <c r="F57" s="44" t="s">
        <v>14</v>
      </c>
      <c r="G57" s="44" t="s">
        <v>121</v>
      </c>
      <c r="H57" s="44" t="s">
        <v>16</v>
      </c>
      <c r="I57" s="45" t="s">
        <v>15</v>
      </c>
    </row>
    <row r="58" spans="4:26" x14ac:dyDescent="0.25">
      <c r="D58" s="42">
        <f>D59-1</f>
        <v>2012</v>
      </c>
      <c r="E58" s="257">
        <f>3527000+1500000</f>
        <v>5027000</v>
      </c>
      <c r="F58" s="258">
        <v>0</v>
      </c>
      <c r="G58" s="258">
        <f>2896571+532000+2694186+10033790</f>
        <v>16156547</v>
      </c>
      <c r="H58" s="258">
        <v>0</v>
      </c>
      <c r="I58" s="259">
        <v>0</v>
      </c>
    </row>
    <row r="59" spans="4:26" x14ac:dyDescent="0.25">
      <c r="D59" s="42">
        <f>D1</f>
        <v>2013</v>
      </c>
      <c r="E59" s="46">
        <f>E4</f>
        <v>2250000</v>
      </c>
      <c r="F59" s="47">
        <f>F4</f>
        <v>0</v>
      </c>
      <c r="G59" s="47">
        <f>G4</f>
        <v>11453785</v>
      </c>
      <c r="H59" s="47">
        <f>H4</f>
        <v>430000</v>
      </c>
      <c r="I59" s="48">
        <f>I4</f>
        <v>5925000</v>
      </c>
    </row>
    <row r="61" spans="4:26" ht="15.75" x14ac:dyDescent="0.25">
      <c r="D61" s="161"/>
      <c r="E61" s="162" t="s">
        <v>13</v>
      </c>
      <c r="F61" s="163" t="s">
        <v>14</v>
      </c>
      <c r="G61" s="163" t="s">
        <v>121</v>
      </c>
      <c r="H61" s="163" t="s">
        <v>16</v>
      </c>
      <c r="I61" s="164" t="s">
        <v>15</v>
      </c>
    </row>
    <row r="62" spans="4:26" x14ac:dyDescent="0.25">
      <c r="D62" s="161" t="s">
        <v>94</v>
      </c>
      <c r="E62" s="165">
        <f t="shared" ref="E62:I63" si="10">E12</f>
        <v>0</v>
      </c>
      <c r="F62" s="168">
        <f t="shared" si="10"/>
        <v>0</v>
      </c>
      <c r="G62" s="168">
        <f t="shared" si="10"/>
        <v>919882</v>
      </c>
      <c r="H62" s="168">
        <f t="shared" si="10"/>
        <v>0</v>
      </c>
      <c r="I62" s="167">
        <f t="shared" si="10"/>
        <v>400000</v>
      </c>
    </row>
    <row r="63" spans="4:26" x14ac:dyDescent="0.25">
      <c r="D63" s="161" t="s">
        <v>95</v>
      </c>
      <c r="E63" s="165">
        <f t="shared" si="10"/>
        <v>2250000</v>
      </c>
      <c r="F63" s="168">
        <f t="shared" si="10"/>
        <v>0</v>
      </c>
      <c r="G63" s="168">
        <f t="shared" si="10"/>
        <v>7769669</v>
      </c>
      <c r="H63" s="168">
        <f t="shared" si="10"/>
        <v>430000</v>
      </c>
      <c r="I63" s="167">
        <f t="shared" si="10"/>
        <v>5525000</v>
      </c>
    </row>
  </sheetData>
  <sheetProtection password="F489" sheet="1" objects="1" scenarios="1" selectLockedCells="1"/>
  <mergeCells count="2">
    <mergeCell ref="V3:V4"/>
    <mergeCell ref="D49:M5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&amp;L&amp;F: &amp;A&amp;C&amp;D&amp;RSide &amp;P av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C54"/>
  <sheetViews>
    <sheetView tabSelected="1" zoomScale="85" zoomScaleNormal="85" workbookViewId="0">
      <selection activeCell="D34" sqref="D34:M48"/>
    </sheetView>
  </sheetViews>
  <sheetFormatPr defaultRowHeight="15" outlineLevelCol="1" x14ac:dyDescent="0.25"/>
  <cols>
    <col min="1" max="3" width="2.7109375" style="150" customWidth="1"/>
    <col min="4" max="4" width="41.42578125" style="153" customWidth="1"/>
    <col min="5" max="5" width="11.28515625" style="150" customWidth="1"/>
    <col min="6" max="9" width="10.7109375" style="150" customWidth="1"/>
    <col min="10" max="12" width="10.7109375" style="150" customWidth="1" outlineLevel="1"/>
    <col min="13" max="13" width="12.28515625" style="150" customWidth="1"/>
    <col min="14" max="15" width="2.7109375" style="150" customWidth="1"/>
    <col min="16" max="19" width="9.7109375" style="150" customWidth="1"/>
    <col min="20" max="21" width="2.7109375" style="150" customWidth="1"/>
    <col min="22" max="22" width="9.7109375" style="150" customWidth="1"/>
    <col min="23" max="24" width="10.7109375" style="150" bestFit="1" customWidth="1"/>
    <col min="25" max="25" width="11.42578125" style="150" bestFit="1" customWidth="1"/>
    <col min="26" max="26" width="9.140625" style="150"/>
    <col min="27" max="29" width="2.7109375" style="150" customWidth="1"/>
    <col min="30" max="16384" width="9.140625" style="150"/>
  </cols>
  <sheetData>
    <row r="1" spans="4:29" ht="23.25" x14ac:dyDescent="0.35">
      <c r="D1" s="160">
        <f>'0-Total'!B1</f>
        <v>2013</v>
      </c>
      <c r="E1" s="159" t="s">
        <v>114</v>
      </c>
    </row>
    <row r="2" spans="4:29" ht="15.75" thickBot="1" x14ac:dyDescent="0.3"/>
    <row r="3" spans="4:29" s="151" customFormat="1" ht="15.75" x14ac:dyDescent="0.25">
      <c r="D3" s="109" t="s">
        <v>31</v>
      </c>
      <c r="E3" s="174" t="s">
        <v>13</v>
      </c>
      <c r="F3" s="175" t="s">
        <v>14</v>
      </c>
      <c r="G3" s="175" t="s">
        <v>121</v>
      </c>
      <c r="H3" s="175" t="s">
        <v>16</v>
      </c>
      <c r="I3" s="176" t="s">
        <v>15</v>
      </c>
      <c r="J3" s="175" t="s">
        <v>17</v>
      </c>
      <c r="K3" s="175" t="s">
        <v>21</v>
      </c>
      <c r="L3" s="175" t="s">
        <v>18</v>
      </c>
      <c r="M3" s="177" t="s">
        <v>19</v>
      </c>
      <c r="N3" s="152"/>
      <c r="O3" s="150"/>
      <c r="P3" s="150"/>
      <c r="Q3" s="150"/>
      <c r="R3" s="150"/>
      <c r="S3" s="150"/>
      <c r="T3" s="234"/>
      <c r="U3" s="234"/>
      <c r="V3" s="240"/>
      <c r="W3" s="234"/>
      <c r="X3" s="234"/>
      <c r="Y3" s="235"/>
      <c r="Z3" s="234"/>
      <c r="AA3" s="236"/>
      <c r="AB3" s="236"/>
      <c r="AC3" s="236"/>
    </row>
    <row r="4" spans="4:29" s="151" customFormat="1" ht="16.5" thickBot="1" x14ac:dyDescent="0.3">
      <c r="D4" s="178" t="s">
        <v>122</v>
      </c>
      <c r="E4" s="219">
        <f>$M19*E$12</f>
        <v>-135072.4036075836</v>
      </c>
      <c r="F4" s="220">
        <f>$M19*F$12</f>
        <v>-93123.24590918234</v>
      </c>
      <c r="G4" s="220">
        <f>$M19*G$12</f>
        <v>-138519.61448326238</v>
      </c>
      <c r="H4" s="220">
        <f>$M19*H$12</f>
        <v>0</v>
      </c>
      <c r="I4" s="221"/>
      <c r="J4" s="222"/>
      <c r="K4" s="222"/>
      <c r="L4" s="222"/>
      <c r="M4" s="223">
        <f>SUM(E4:I4)</f>
        <v>-366715.26400002837</v>
      </c>
      <c r="N4" s="152"/>
      <c r="O4" s="150"/>
      <c r="P4" s="150"/>
      <c r="Q4" s="150"/>
      <c r="R4" s="150"/>
      <c r="S4" s="150"/>
      <c r="T4" s="234"/>
      <c r="U4" s="234"/>
      <c r="V4" s="240"/>
      <c r="W4" s="234"/>
      <c r="X4" s="234"/>
      <c r="Y4" s="235"/>
      <c r="Z4" s="234"/>
      <c r="AA4" s="236"/>
      <c r="AB4" s="236"/>
      <c r="AC4" s="236"/>
    </row>
    <row r="5" spans="4:29" s="151" customFormat="1" ht="17.25" thickTop="1" thickBot="1" x14ac:dyDescent="0.3">
      <c r="D5" s="108" t="s">
        <v>115</v>
      </c>
      <c r="E5" s="214">
        <f>SUM(E6:E8)</f>
        <v>13743062.908484224</v>
      </c>
      <c r="F5" s="215">
        <f>SUM(F6:F8)</f>
        <v>9474908.216561012</v>
      </c>
      <c r="G5" s="215">
        <f>SUM(G6:G8)</f>
        <v>14093802.472288094</v>
      </c>
      <c r="H5" s="215">
        <f>SUM(H6:H8)</f>
        <v>0</v>
      </c>
      <c r="I5" s="216">
        <f>SUM(J5:L5)</f>
        <v>-37311773.597333334</v>
      </c>
      <c r="J5" s="215">
        <f>-J20</f>
        <v>-9388784.5973333344</v>
      </c>
      <c r="K5" s="217"/>
      <c r="L5" s="215">
        <f>-L20</f>
        <v>-27922989</v>
      </c>
      <c r="M5" s="218">
        <f>SUM(E5:I5)</f>
        <v>0</v>
      </c>
      <c r="N5" s="152"/>
      <c r="O5" s="150"/>
      <c r="P5" s="150"/>
      <c r="Q5" s="150"/>
      <c r="R5" s="150"/>
      <c r="S5" s="150"/>
      <c r="T5" s="234"/>
      <c r="U5" s="234"/>
      <c r="V5" s="240"/>
      <c r="W5" s="237"/>
      <c r="X5" s="237"/>
      <c r="Y5" s="237"/>
      <c r="Z5" s="238"/>
      <c r="AA5" s="236"/>
      <c r="AB5" s="236"/>
      <c r="AC5" s="236"/>
    </row>
    <row r="6" spans="4:29" s="151" customFormat="1" ht="15.75" x14ac:dyDescent="0.25">
      <c r="D6" s="178" t="s">
        <v>111</v>
      </c>
      <c r="E6" s="180">
        <f t="shared" ref="E6:H8" si="0">$M21*E$12</f>
        <v>-348519.95898565697</v>
      </c>
      <c r="F6" s="181">
        <f t="shared" si="0"/>
        <v>-240280.83441210992</v>
      </c>
      <c r="G6" s="181">
        <f t="shared" si="0"/>
        <v>-357414.60926889977</v>
      </c>
      <c r="H6" s="181">
        <f t="shared" si="0"/>
        <v>0</v>
      </c>
      <c r="I6" s="182"/>
      <c r="J6" s="183"/>
      <c r="K6" s="183"/>
      <c r="L6" s="183"/>
      <c r="M6" s="184">
        <f>SUM(E6:I6)</f>
        <v>-946215.40266666666</v>
      </c>
      <c r="N6" s="152"/>
      <c r="O6" s="150"/>
      <c r="P6" s="150"/>
      <c r="Q6" s="150"/>
      <c r="R6" s="150"/>
      <c r="S6" s="150"/>
      <c r="T6" s="234"/>
      <c r="U6" s="234"/>
      <c r="V6" s="239"/>
      <c r="W6" s="239"/>
      <c r="X6" s="239"/>
      <c r="Y6" s="239"/>
      <c r="Z6" s="239"/>
      <c r="AA6" s="236"/>
      <c r="AB6" s="236"/>
      <c r="AC6" s="236"/>
    </row>
    <row r="7" spans="4:29" s="151" customFormat="1" ht="15.75" x14ac:dyDescent="0.25">
      <c r="D7" s="178" t="s">
        <v>109</v>
      </c>
      <c r="E7" s="180">
        <f t="shared" si="0"/>
        <v>-3314974.1824440621</v>
      </c>
      <c r="F7" s="181">
        <f t="shared" si="0"/>
        <v>-2285449.4902687669</v>
      </c>
      <c r="G7" s="181">
        <f t="shared" si="0"/>
        <v>-3399576.3272871701</v>
      </c>
      <c r="H7" s="181">
        <f t="shared" si="0"/>
        <v>0</v>
      </c>
      <c r="I7" s="182"/>
      <c r="J7" s="183"/>
      <c r="K7" s="183"/>
      <c r="L7" s="183"/>
      <c r="M7" s="184">
        <f>SUM(E7:I7)</f>
        <v>-9000000</v>
      </c>
      <c r="N7" s="152"/>
      <c r="O7" s="150"/>
      <c r="P7" s="150"/>
      <c r="Q7" s="150"/>
      <c r="R7" s="150"/>
      <c r="S7" s="150"/>
      <c r="T7" s="234"/>
      <c r="U7" s="234"/>
      <c r="V7" s="239"/>
      <c r="W7" s="239"/>
      <c r="X7" s="239"/>
      <c r="Y7" s="239"/>
      <c r="Z7" s="239"/>
      <c r="AA7" s="236"/>
      <c r="AB7" s="236"/>
      <c r="AC7" s="236"/>
    </row>
    <row r="8" spans="4:29" ht="15.75" thickBot="1" x14ac:dyDescent="0.3">
      <c r="D8" s="179" t="s">
        <v>110</v>
      </c>
      <c r="E8" s="185">
        <f t="shared" si="0"/>
        <v>17406557.049913943</v>
      </c>
      <c r="F8" s="186">
        <f t="shared" si="0"/>
        <v>12000638.541241888</v>
      </c>
      <c r="G8" s="186">
        <f t="shared" si="0"/>
        <v>17850793.408844166</v>
      </c>
      <c r="H8" s="186">
        <f t="shared" si="0"/>
        <v>0</v>
      </c>
      <c r="I8" s="187"/>
      <c r="J8" s="188"/>
      <c r="K8" s="188"/>
      <c r="L8" s="188"/>
      <c r="M8" s="189">
        <f>SUM(E8:I8)</f>
        <v>47257989</v>
      </c>
    </row>
    <row r="9" spans="4:29" x14ac:dyDescent="0.25">
      <c r="D9" s="150"/>
    </row>
    <row r="10" spans="4:29" ht="15.75" x14ac:dyDescent="0.25">
      <c r="D10" s="154" t="s">
        <v>117</v>
      </c>
      <c r="E10" s="155" t="s">
        <v>13</v>
      </c>
      <c r="F10" s="156" t="s">
        <v>14</v>
      </c>
      <c r="G10" s="156" t="s">
        <v>121</v>
      </c>
      <c r="H10" s="156" t="s">
        <v>16</v>
      </c>
      <c r="I10" s="140"/>
      <c r="J10" s="141"/>
      <c r="K10" s="141"/>
      <c r="L10" s="141"/>
      <c r="M10" s="155" t="s">
        <v>19</v>
      </c>
    </row>
    <row r="11" spans="4:29" ht="15.75" thickBot="1" x14ac:dyDescent="0.3">
      <c r="D11" s="158" t="s">
        <v>103</v>
      </c>
      <c r="E11" s="228">
        <f>SUM(E13:E15)/3</f>
        <v>92.733333333333348</v>
      </c>
      <c r="F11" s="229">
        <f>SUM(F13:F15)/3</f>
        <v>63.93333333333333</v>
      </c>
      <c r="G11" s="229">
        <f>SUM(G13:G15)/3</f>
        <v>95.100000000000009</v>
      </c>
      <c r="H11" s="229">
        <f>SUM(H13:H15)/3</f>
        <v>0</v>
      </c>
      <c r="I11" s="230"/>
      <c r="J11" s="231"/>
      <c r="K11" s="231"/>
      <c r="L11" s="231"/>
      <c r="M11" s="228">
        <f>SUM(E11:I11)</f>
        <v>251.76666666666671</v>
      </c>
    </row>
    <row r="12" spans="4:29" ht="16.5" thickTop="1" thickBot="1" x14ac:dyDescent="0.3">
      <c r="D12" s="139" t="s">
        <v>104</v>
      </c>
      <c r="E12" s="121">
        <f>E$11/$M$11</f>
        <v>0.36833046471600689</v>
      </c>
      <c r="F12" s="122">
        <f>F$11/$M$11</f>
        <v>0.25393883225208519</v>
      </c>
      <c r="G12" s="122">
        <f>G$11/$M$11</f>
        <v>0.37773070303190781</v>
      </c>
      <c r="H12" s="122">
        <f>H$11/$M$11</f>
        <v>0</v>
      </c>
      <c r="I12" s="142"/>
      <c r="J12" s="143"/>
      <c r="K12" s="143"/>
      <c r="L12" s="143"/>
      <c r="M12" s="121">
        <f>SUM(E12:I12)</f>
        <v>0.99999999999999989</v>
      </c>
    </row>
    <row r="13" spans="4:29" ht="15.75" thickTop="1" x14ac:dyDescent="0.25">
      <c r="D13" s="287">
        <v>2009</v>
      </c>
      <c r="E13" s="292">
        <v>85.9</v>
      </c>
      <c r="F13" s="293">
        <v>62.8</v>
      </c>
      <c r="G13" s="293">
        <f>77.7+(28.4/2)</f>
        <v>91.9</v>
      </c>
      <c r="H13" s="293">
        <v>0</v>
      </c>
      <c r="I13" s="225"/>
      <c r="J13" s="226"/>
      <c r="K13" s="226"/>
      <c r="L13" s="226"/>
      <c r="M13" s="227">
        <f>SUM(E13:I13)</f>
        <v>240.6</v>
      </c>
    </row>
    <row r="14" spans="4:29" x14ac:dyDescent="0.25">
      <c r="D14" s="287">
        <v>2010</v>
      </c>
      <c r="E14" s="292">
        <v>93.9</v>
      </c>
      <c r="F14" s="293">
        <v>68.599999999999994</v>
      </c>
      <c r="G14" s="293">
        <f>82.3+(28.7/2)</f>
        <v>96.649999999999991</v>
      </c>
      <c r="H14" s="293">
        <v>0</v>
      </c>
      <c r="I14" s="225"/>
      <c r="J14" s="226"/>
      <c r="K14" s="226"/>
      <c r="L14" s="226"/>
      <c r="M14" s="227">
        <f>SUM(E14:I14)</f>
        <v>259.14999999999998</v>
      </c>
    </row>
    <row r="15" spans="4:29" x14ac:dyDescent="0.25">
      <c r="D15" s="287">
        <v>2011</v>
      </c>
      <c r="E15" s="292">
        <v>98.4</v>
      </c>
      <c r="F15" s="293">
        <v>60.4</v>
      </c>
      <c r="G15" s="293">
        <f>79.2+(35.1/2)</f>
        <v>96.75</v>
      </c>
      <c r="H15" s="293">
        <v>0</v>
      </c>
      <c r="I15" s="225"/>
      <c r="J15" s="226"/>
      <c r="K15" s="226"/>
      <c r="L15" s="226"/>
      <c r="M15" s="227">
        <f>SUM(E15:I15)</f>
        <v>255.55</v>
      </c>
    </row>
    <row r="16" spans="4:29" x14ac:dyDescent="0.25">
      <c r="D16" s="232" t="s">
        <v>118</v>
      </c>
      <c r="E16" s="233" t="s">
        <v>119</v>
      </c>
    </row>
    <row r="17" spans="4:17" x14ac:dyDescent="0.25">
      <c r="D17" s="169"/>
      <c r="E17" s="129"/>
      <c r="F17" s="129"/>
      <c r="G17" s="129"/>
      <c r="H17" s="129"/>
      <c r="I17" s="129"/>
      <c r="J17" s="129"/>
      <c r="K17" s="129"/>
      <c r="L17" s="129"/>
      <c r="M17" s="129"/>
      <c r="Q17" s="146"/>
    </row>
    <row r="18" spans="4:17" ht="15.75" x14ac:dyDescent="0.25">
      <c r="D18" s="154" t="s">
        <v>102</v>
      </c>
      <c r="E18" s="126"/>
      <c r="F18" s="141"/>
      <c r="G18" s="141"/>
      <c r="H18" s="141"/>
      <c r="I18" s="157" t="s">
        <v>15</v>
      </c>
      <c r="J18" s="156" t="s">
        <v>17</v>
      </c>
      <c r="K18" s="141"/>
      <c r="L18" s="156" t="s">
        <v>18</v>
      </c>
      <c r="M18" s="155" t="s">
        <v>19</v>
      </c>
    </row>
    <row r="19" spans="4:17" ht="15.75" thickBot="1" x14ac:dyDescent="0.3">
      <c r="D19" s="158" t="s">
        <v>123</v>
      </c>
      <c r="E19" s="144"/>
      <c r="F19" s="125"/>
      <c r="G19" s="125"/>
      <c r="H19" s="125"/>
      <c r="I19" s="112">
        <f>SUM(J19:L19)</f>
        <v>-366715.26400002837</v>
      </c>
      <c r="J19" s="111">
        <f>'0-Total'!M26-'0-Total'!N26</f>
        <v>-366715.26400002837</v>
      </c>
      <c r="K19" s="123"/>
      <c r="L19" s="123"/>
      <c r="M19" s="110">
        <f>SUM(E19:I19)</f>
        <v>-366715.26400002837</v>
      </c>
    </row>
    <row r="20" spans="4:17" ht="16.5" thickTop="1" thickBot="1" x14ac:dyDescent="0.3">
      <c r="D20" s="158" t="s">
        <v>105</v>
      </c>
      <c r="E20" s="127"/>
      <c r="F20" s="123"/>
      <c r="G20" s="123"/>
      <c r="H20" s="123"/>
      <c r="I20" s="224">
        <f t="shared" ref="I20:I28" si="1">SUM(J20:L20)</f>
        <v>37311773.597333334</v>
      </c>
      <c r="J20" s="97">
        <f>SUM(J21:J23)</f>
        <v>9388784.5973333344</v>
      </c>
      <c r="K20" s="217"/>
      <c r="L20" s="97">
        <f>SUM(L21:L23)</f>
        <v>27922989</v>
      </c>
      <c r="M20" s="96">
        <f t="shared" ref="M20:M28" si="2">SUM(E20:I20)</f>
        <v>37311773.597333334</v>
      </c>
    </row>
    <row r="21" spans="4:17" ht="15.75" thickTop="1" x14ac:dyDescent="0.25">
      <c r="D21" s="158" t="s">
        <v>111</v>
      </c>
      <c r="E21" s="144"/>
      <c r="F21" s="125"/>
      <c r="G21" s="125"/>
      <c r="H21" s="125"/>
      <c r="I21" s="114">
        <f t="shared" si="1"/>
        <v>-946215.40266666678</v>
      </c>
      <c r="J21" s="115">
        <f>-'0-Total'!J26</f>
        <v>-546215.40266666678</v>
      </c>
      <c r="K21" s="125"/>
      <c r="L21" s="115">
        <f>-'0-Total'!L26</f>
        <v>-400000</v>
      </c>
      <c r="M21" s="113">
        <f t="shared" si="2"/>
        <v>-946215.40266666678</v>
      </c>
    </row>
    <row r="22" spans="4:17" x14ac:dyDescent="0.25">
      <c r="D22" s="158" t="s">
        <v>107</v>
      </c>
      <c r="E22" s="144"/>
      <c r="F22" s="125"/>
      <c r="G22" s="125"/>
      <c r="H22" s="125"/>
      <c r="I22" s="114">
        <f t="shared" si="1"/>
        <v>-9000000</v>
      </c>
      <c r="J22" s="288">
        <f>-9000000*0.25</f>
        <v>-2250000</v>
      </c>
      <c r="K22" s="125"/>
      <c r="L22" s="288">
        <f>-9000000*0.75</f>
        <v>-6750000</v>
      </c>
      <c r="M22" s="113">
        <f t="shared" si="2"/>
        <v>-9000000</v>
      </c>
    </row>
    <row r="23" spans="4:17" ht="15.75" thickBot="1" x14ac:dyDescent="0.3">
      <c r="D23" s="158" t="s">
        <v>106</v>
      </c>
      <c r="E23" s="144"/>
      <c r="F23" s="125"/>
      <c r="G23" s="125"/>
      <c r="H23" s="125"/>
      <c r="I23" s="170">
        <f t="shared" si="1"/>
        <v>47257989</v>
      </c>
      <c r="J23" s="171">
        <f>SUM(J24:J30)</f>
        <v>12185000</v>
      </c>
      <c r="K23" s="172"/>
      <c r="L23" s="171">
        <f>SUM(L24:L30)</f>
        <v>35072989</v>
      </c>
      <c r="M23" s="173">
        <f t="shared" si="2"/>
        <v>47257989</v>
      </c>
    </row>
    <row r="24" spans="4:17" ht="15.75" thickTop="1" x14ac:dyDescent="0.25">
      <c r="D24" s="138" t="s">
        <v>96</v>
      </c>
      <c r="E24" s="145"/>
      <c r="F24" s="124"/>
      <c r="G24" s="124"/>
      <c r="H24" s="128"/>
      <c r="I24" s="114">
        <f t="shared" si="1"/>
        <v>14550242</v>
      </c>
      <c r="J24" s="115">
        <f>[1]Felles!$K$6</f>
        <v>2140000</v>
      </c>
      <c r="K24" s="125"/>
      <c r="L24" s="115">
        <f>[1]Felles!$L$6</f>
        <v>12410242</v>
      </c>
      <c r="M24" s="113">
        <f t="shared" si="2"/>
        <v>14550242</v>
      </c>
    </row>
    <row r="25" spans="4:17" x14ac:dyDescent="0.25">
      <c r="D25" s="138" t="s">
        <v>97</v>
      </c>
      <c r="E25" s="145"/>
      <c r="F25" s="124"/>
      <c r="G25" s="124"/>
      <c r="H25" s="125"/>
      <c r="I25" s="114">
        <f t="shared" si="1"/>
        <v>10769607</v>
      </c>
      <c r="J25" s="115">
        <f>[1]Felles!$K$7</f>
        <v>7190000</v>
      </c>
      <c r="K25" s="125"/>
      <c r="L25" s="115">
        <f>[1]Felles!$L$7</f>
        <v>3579607</v>
      </c>
      <c r="M25" s="113">
        <f t="shared" si="2"/>
        <v>10769607</v>
      </c>
    </row>
    <row r="26" spans="4:17" x14ac:dyDescent="0.25">
      <c r="D26" s="138" t="s">
        <v>23</v>
      </c>
      <c r="E26" s="145"/>
      <c r="F26" s="124"/>
      <c r="G26" s="124"/>
      <c r="H26" s="125"/>
      <c r="I26" s="114">
        <f t="shared" si="1"/>
        <v>1468688</v>
      </c>
      <c r="J26" s="115">
        <f>[1]Felles!$K$8</f>
        <v>0</v>
      </c>
      <c r="K26" s="125"/>
      <c r="L26" s="115">
        <f>[1]Felles!$L$8</f>
        <v>1468688</v>
      </c>
      <c r="M26" s="113">
        <f t="shared" si="2"/>
        <v>1468688</v>
      </c>
    </row>
    <row r="27" spans="4:17" x14ac:dyDescent="0.25">
      <c r="D27" s="138" t="s">
        <v>98</v>
      </c>
      <c r="E27" s="145"/>
      <c r="F27" s="124"/>
      <c r="G27" s="124"/>
      <c r="H27" s="125"/>
      <c r="I27" s="114">
        <f t="shared" si="1"/>
        <v>6520713</v>
      </c>
      <c r="J27" s="115">
        <f>[1]Felles!$K$9</f>
        <v>1820000</v>
      </c>
      <c r="K27" s="125"/>
      <c r="L27" s="115">
        <f>[1]Felles!$L$9</f>
        <v>4700713</v>
      </c>
      <c r="M27" s="113">
        <f t="shared" si="2"/>
        <v>6520713</v>
      </c>
    </row>
    <row r="28" spans="4:17" x14ac:dyDescent="0.25">
      <c r="D28" s="138" t="s">
        <v>100</v>
      </c>
      <c r="E28" s="145"/>
      <c r="F28" s="124"/>
      <c r="G28" s="124"/>
      <c r="H28" s="125"/>
      <c r="I28" s="114">
        <f t="shared" si="1"/>
        <v>3084773</v>
      </c>
      <c r="J28" s="115">
        <f>[1]Felles!$K$10</f>
        <v>0</v>
      </c>
      <c r="K28" s="125"/>
      <c r="L28" s="115">
        <f>[1]Felles!$L$10</f>
        <v>3084773</v>
      </c>
      <c r="M28" s="113">
        <f t="shared" si="2"/>
        <v>3084773</v>
      </c>
    </row>
    <row r="29" spans="4:17" x14ac:dyDescent="0.25">
      <c r="D29" s="138" t="s">
        <v>99</v>
      </c>
      <c r="E29" s="144"/>
      <c r="F29" s="125"/>
      <c r="G29" s="125"/>
      <c r="H29" s="125"/>
      <c r="I29" s="114">
        <f>SUM(J29:L29)</f>
        <v>5409930</v>
      </c>
      <c r="J29" s="115">
        <f>[1]Felles!$K$11</f>
        <v>1035000</v>
      </c>
      <c r="K29" s="125"/>
      <c r="L29" s="115">
        <f>[1]Felles!$L$11</f>
        <v>4374930</v>
      </c>
      <c r="M29" s="113">
        <f>SUM(E29:I29)</f>
        <v>5409930</v>
      </c>
    </row>
    <row r="30" spans="4:17" x14ac:dyDescent="0.25">
      <c r="D30" s="138" t="s">
        <v>101</v>
      </c>
      <c r="E30" s="144"/>
      <c r="F30" s="125"/>
      <c r="G30" s="125"/>
      <c r="H30" s="125"/>
      <c r="I30" s="114">
        <f>SUM(J30:L30)</f>
        <v>5454036</v>
      </c>
      <c r="J30" s="115">
        <f>[1]Felles!$K$12</f>
        <v>0</v>
      </c>
      <c r="K30" s="125"/>
      <c r="L30" s="115">
        <f>[1]Felles!$L$12</f>
        <v>5454036</v>
      </c>
      <c r="M30" s="113">
        <f>SUM(E30:I30)</f>
        <v>5454036</v>
      </c>
    </row>
    <row r="32" spans="4:17" x14ac:dyDescent="0.25">
      <c r="D32" s="104"/>
      <c r="E32" s="105"/>
      <c r="F32" s="106"/>
      <c r="G32" s="106"/>
      <c r="H32" s="106"/>
      <c r="I32" s="105"/>
      <c r="J32" s="106"/>
      <c r="K32" s="106"/>
      <c r="L32" s="106"/>
      <c r="M32" s="105"/>
    </row>
    <row r="33" spans="3:14" x14ac:dyDescent="0.25">
      <c r="C33" s="103"/>
      <c r="D33" s="107" t="s">
        <v>39</v>
      </c>
      <c r="E33" s="105"/>
      <c r="F33" s="106"/>
      <c r="G33" s="106"/>
      <c r="H33" s="106"/>
      <c r="I33" s="105"/>
      <c r="J33" s="106"/>
      <c r="K33" s="106"/>
      <c r="L33" s="106"/>
      <c r="M33" s="105"/>
      <c r="N33" s="103"/>
    </row>
    <row r="34" spans="3:14" x14ac:dyDescent="0.25">
      <c r="D34" s="298"/>
      <c r="E34" s="299"/>
      <c r="F34" s="299"/>
      <c r="G34" s="299"/>
      <c r="H34" s="299"/>
      <c r="I34" s="299"/>
      <c r="J34" s="299"/>
      <c r="K34" s="299"/>
      <c r="L34" s="299"/>
      <c r="M34" s="300"/>
    </row>
    <row r="35" spans="3:14" x14ac:dyDescent="0.25">
      <c r="D35" s="301"/>
      <c r="E35" s="302"/>
      <c r="F35" s="302"/>
      <c r="G35" s="302"/>
      <c r="H35" s="302"/>
      <c r="I35" s="302"/>
      <c r="J35" s="302"/>
      <c r="K35" s="302"/>
      <c r="L35" s="302"/>
      <c r="M35" s="303"/>
    </row>
    <row r="36" spans="3:14" x14ac:dyDescent="0.25">
      <c r="D36" s="301"/>
      <c r="E36" s="302"/>
      <c r="F36" s="302"/>
      <c r="G36" s="302"/>
      <c r="H36" s="302"/>
      <c r="I36" s="302"/>
      <c r="J36" s="302"/>
      <c r="K36" s="302"/>
      <c r="L36" s="302"/>
      <c r="M36" s="303"/>
    </row>
    <row r="37" spans="3:14" x14ac:dyDescent="0.25">
      <c r="D37" s="301"/>
      <c r="E37" s="302"/>
      <c r="F37" s="302"/>
      <c r="G37" s="302"/>
      <c r="H37" s="302"/>
      <c r="I37" s="302"/>
      <c r="J37" s="302"/>
      <c r="K37" s="302"/>
      <c r="L37" s="302"/>
      <c r="M37" s="303"/>
    </row>
    <row r="38" spans="3:14" x14ac:dyDescent="0.25">
      <c r="D38" s="301"/>
      <c r="E38" s="302"/>
      <c r="F38" s="302"/>
      <c r="G38" s="302"/>
      <c r="H38" s="302"/>
      <c r="I38" s="302"/>
      <c r="J38" s="302"/>
      <c r="K38" s="302"/>
      <c r="L38" s="302"/>
      <c r="M38" s="303"/>
    </row>
    <row r="39" spans="3:14" x14ac:dyDescent="0.25">
      <c r="D39" s="301"/>
      <c r="E39" s="302"/>
      <c r="F39" s="302"/>
      <c r="G39" s="302"/>
      <c r="H39" s="302"/>
      <c r="I39" s="302"/>
      <c r="J39" s="302"/>
      <c r="K39" s="302"/>
      <c r="L39" s="302"/>
      <c r="M39" s="303"/>
    </row>
    <row r="40" spans="3:14" x14ac:dyDescent="0.25">
      <c r="D40" s="301"/>
      <c r="E40" s="302"/>
      <c r="F40" s="302"/>
      <c r="G40" s="302"/>
      <c r="H40" s="302"/>
      <c r="I40" s="302"/>
      <c r="J40" s="302"/>
      <c r="K40" s="302"/>
      <c r="L40" s="302"/>
      <c r="M40" s="303"/>
    </row>
    <row r="41" spans="3:14" x14ac:dyDescent="0.25">
      <c r="D41" s="301"/>
      <c r="E41" s="302"/>
      <c r="F41" s="302"/>
      <c r="G41" s="302"/>
      <c r="H41" s="302"/>
      <c r="I41" s="302"/>
      <c r="J41" s="302"/>
      <c r="K41" s="302"/>
      <c r="L41" s="302"/>
      <c r="M41" s="303"/>
    </row>
    <row r="42" spans="3:14" x14ac:dyDescent="0.25">
      <c r="D42" s="301"/>
      <c r="E42" s="302"/>
      <c r="F42" s="302"/>
      <c r="G42" s="302"/>
      <c r="H42" s="302"/>
      <c r="I42" s="302"/>
      <c r="J42" s="302"/>
      <c r="K42" s="302"/>
      <c r="L42" s="302"/>
      <c r="M42" s="303"/>
    </row>
    <row r="43" spans="3:14" x14ac:dyDescent="0.25">
      <c r="D43" s="301"/>
      <c r="E43" s="302"/>
      <c r="F43" s="302"/>
      <c r="G43" s="302"/>
      <c r="H43" s="302"/>
      <c r="I43" s="302"/>
      <c r="J43" s="302"/>
      <c r="K43" s="302"/>
      <c r="L43" s="302"/>
      <c r="M43" s="303"/>
    </row>
    <row r="44" spans="3:14" x14ac:dyDescent="0.25">
      <c r="D44" s="301"/>
      <c r="E44" s="302"/>
      <c r="F44" s="302"/>
      <c r="G44" s="302"/>
      <c r="H44" s="302"/>
      <c r="I44" s="302"/>
      <c r="J44" s="302"/>
      <c r="K44" s="302"/>
      <c r="L44" s="302"/>
      <c r="M44" s="303"/>
    </row>
    <row r="45" spans="3:14" x14ac:dyDescent="0.25">
      <c r="D45" s="301"/>
      <c r="E45" s="302"/>
      <c r="F45" s="302"/>
      <c r="G45" s="302"/>
      <c r="H45" s="302"/>
      <c r="I45" s="302"/>
      <c r="J45" s="302"/>
      <c r="K45" s="302"/>
      <c r="L45" s="302"/>
      <c r="M45" s="303"/>
    </row>
    <row r="46" spans="3:14" x14ac:dyDescent="0.25">
      <c r="D46" s="301"/>
      <c r="E46" s="302"/>
      <c r="F46" s="302"/>
      <c r="G46" s="302"/>
      <c r="H46" s="302"/>
      <c r="I46" s="302"/>
      <c r="J46" s="302"/>
      <c r="K46" s="302"/>
      <c r="L46" s="302"/>
      <c r="M46" s="303"/>
    </row>
    <row r="47" spans="3:14" x14ac:dyDescent="0.25">
      <c r="D47" s="301"/>
      <c r="E47" s="302"/>
      <c r="F47" s="302"/>
      <c r="G47" s="302"/>
      <c r="H47" s="302"/>
      <c r="I47" s="302"/>
      <c r="J47" s="302"/>
      <c r="K47" s="302"/>
      <c r="L47" s="302"/>
      <c r="M47" s="303"/>
    </row>
    <row r="48" spans="3:14" x14ac:dyDescent="0.25">
      <c r="D48" s="304"/>
      <c r="E48" s="305"/>
      <c r="F48" s="305"/>
      <c r="G48" s="305"/>
      <c r="H48" s="305"/>
      <c r="I48" s="305"/>
      <c r="J48" s="305"/>
      <c r="K48" s="305"/>
      <c r="L48" s="305"/>
      <c r="M48" s="306"/>
    </row>
    <row r="50" spans="4:26" ht="15.75" thickBot="1" x14ac:dyDescent="0.3">
      <c r="D50" s="241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</row>
    <row r="52" spans="4:26" ht="15.75" x14ac:dyDescent="0.25">
      <c r="D52" s="161"/>
      <c r="E52" s="162" t="s">
        <v>13</v>
      </c>
      <c r="F52" s="163" t="s">
        <v>14</v>
      </c>
      <c r="G52" s="163" t="s">
        <v>121</v>
      </c>
      <c r="H52" s="163" t="s">
        <v>16</v>
      </c>
      <c r="I52" s="164" t="s">
        <v>15</v>
      </c>
    </row>
    <row r="53" spans="4:26" x14ac:dyDescent="0.25">
      <c r="D53" s="161">
        <f>D54-1</f>
        <v>2012</v>
      </c>
      <c r="E53" s="257">
        <v>15683150</v>
      </c>
      <c r="F53" s="258">
        <v>12065111</v>
      </c>
      <c r="G53" s="258">
        <v>18979469</v>
      </c>
      <c r="H53" s="258">
        <v>0</v>
      </c>
      <c r="I53" s="259">
        <v>0</v>
      </c>
    </row>
    <row r="54" spans="4:26" x14ac:dyDescent="0.25">
      <c r="D54" s="161">
        <f>D1</f>
        <v>2013</v>
      </c>
      <c r="E54" s="165">
        <f>E8</f>
        <v>17406557.049913943</v>
      </c>
      <c r="F54" s="166">
        <f>F8</f>
        <v>12000638.541241888</v>
      </c>
      <c r="G54" s="166">
        <f>G8</f>
        <v>17850793.408844166</v>
      </c>
      <c r="H54" s="166">
        <f>H8</f>
        <v>0</v>
      </c>
      <c r="I54" s="167">
        <f>I8</f>
        <v>0</v>
      </c>
    </row>
  </sheetData>
  <sheetProtection password="F489" sheet="1" objects="1" scenarios="1" selectLockedCells="1"/>
  <mergeCells count="1">
    <mergeCell ref="D34:M48"/>
  </mergeCells>
  <hyperlinks>
    <hyperlink ref="E16" r:id="rId1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headerFooter>
    <oddFooter>&amp;L&amp;F: &amp;A&amp;C&amp;D&amp;RSide &amp;P av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D1:Z58"/>
  <sheetViews>
    <sheetView zoomScaleNormal="100" workbookViewId="0">
      <selection activeCell="G28" sqref="G28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5" width="10.28515625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43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30" t="s">
        <v>22</v>
      </c>
      <c r="E4" s="4">
        <f>SUM(E5:E10)</f>
        <v>36373000</v>
      </c>
      <c r="F4" s="5">
        <f t="shared" ref="F4:L4" si="0">SUM(F5:F10)</f>
        <v>23782000</v>
      </c>
      <c r="G4" s="5">
        <f t="shared" si="0"/>
        <v>23102000</v>
      </c>
      <c r="H4" s="5">
        <f>SUM(H5:H10)</f>
        <v>0</v>
      </c>
      <c r="I4" s="6">
        <f t="shared" ref="I4:I10" si="1">SUM(J4:L4)</f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31">
        <f t="shared" ref="M4:M10" si="2">SUM(E4:I4)</f>
        <v>83257000</v>
      </c>
      <c r="P4" s="23"/>
      <c r="Q4" s="23"/>
      <c r="R4" s="253" t="s">
        <v>60</v>
      </c>
      <c r="S4" s="254">
        <v>1</v>
      </c>
      <c r="V4" s="297"/>
      <c r="W4" s="85">
        <f>'0-Total'!N5</f>
        <v>83984000</v>
      </c>
      <c r="X4" s="85">
        <f>M4</f>
        <v>83257000</v>
      </c>
      <c r="Y4" s="86">
        <f>W4-X4</f>
        <v>727000</v>
      </c>
      <c r="Z4" s="87">
        <f>IFERROR(Y4/W4,"-")</f>
        <v>8.6564107449037912E-3</v>
      </c>
    </row>
    <row r="5" spans="4:26" ht="15.75" thickTop="1" x14ac:dyDescent="0.25">
      <c r="D5" s="32" t="s">
        <v>24</v>
      </c>
      <c r="E5" s="7">
        <f t="shared" ref="E5:H10" si="3">E15*$S5</f>
        <v>0</v>
      </c>
      <c r="F5" s="33">
        <f t="shared" si="3"/>
        <v>0</v>
      </c>
      <c r="G5" s="33">
        <f t="shared" si="3"/>
        <v>0</v>
      </c>
      <c r="H5" s="33">
        <f t="shared" si="3"/>
        <v>0</v>
      </c>
      <c r="I5" s="8">
        <f t="shared" si="1"/>
        <v>0</v>
      </c>
      <c r="J5" s="33">
        <f t="shared" ref="J5:L10" si="4">J15*$S5</f>
        <v>0</v>
      </c>
      <c r="K5" s="33">
        <f t="shared" si="4"/>
        <v>0</v>
      </c>
      <c r="L5" s="33">
        <f t="shared" si="4"/>
        <v>0</v>
      </c>
      <c r="M5" s="34">
        <f t="shared" si="2"/>
        <v>0</v>
      </c>
      <c r="P5" s="23" t="s">
        <v>24</v>
      </c>
      <c r="Q5" s="247">
        <v>204000</v>
      </c>
      <c r="R5" s="248">
        <v>149000</v>
      </c>
      <c r="S5" s="249">
        <v>149000</v>
      </c>
    </row>
    <row r="6" spans="4:26" x14ac:dyDescent="0.25">
      <c r="D6" s="32" t="s">
        <v>25</v>
      </c>
      <c r="E6" s="7">
        <f t="shared" si="3"/>
        <v>0</v>
      </c>
      <c r="F6" s="33">
        <f t="shared" si="3"/>
        <v>0</v>
      </c>
      <c r="G6" s="33">
        <f t="shared" si="3"/>
        <v>0</v>
      </c>
      <c r="H6" s="33">
        <f t="shared" si="3"/>
        <v>0</v>
      </c>
      <c r="I6" s="8">
        <f t="shared" si="1"/>
        <v>0</v>
      </c>
      <c r="J6" s="33">
        <f t="shared" si="4"/>
        <v>0</v>
      </c>
      <c r="K6" s="33">
        <f t="shared" si="4"/>
        <v>0</v>
      </c>
      <c r="L6" s="33">
        <f t="shared" si="4"/>
        <v>0</v>
      </c>
      <c r="M6" s="34">
        <f t="shared" si="2"/>
        <v>0</v>
      </c>
      <c r="P6" s="23" t="s">
        <v>25</v>
      </c>
      <c r="Q6" s="247">
        <v>153000</v>
      </c>
      <c r="R6" s="248">
        <v>112000</v>
      </c>
      <c r="S6" s="249">
        <v>112000</v>
      </c>
    </row>
    <row r="7" spans="4:26" x14ac:dyDescent="0.25">
      <c r="D7" s="32" t="s">
        <v>26</v>
      </c>
      <c r="E7" s="7">
        <f t="shared" si="3"/>
        <v>1140000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8">
        <f t="shared" si="1"/>
        <v>0</v>
      </c>
      <c r="J7" s="33">
        <f t="shared" si="4"/>
        <v>0</v>
      </c>
      <c r="K7" s="33">
        <f t="shared" si="4"/>
        <v>0</v>
      </c>
      <c r="L7" s="33">
        <f t="shared" si="4"/>
        <v>0</v>
      </c>
      <c r="M7" s="34">
        <f t="shared" si="2"/>
        <v>1140000</v>
      </c>
      <c r="P7" s="23" t="s">
        <v>26</v>
      </c>
      <c r="Q7" s="247">
        <v>104000</v>
      </c>
      <c r="R7" s="248">
        <v>76000</v>
      </c>
      <c r="S7" s="249">
        <v>76000</v>
      </c>
    </row>
    <row r="8" spans="4:26" x14ac:dyDescent="0.25">
      <c r="D8" s="32" t="s">
        <v>27</v>
      </c>
      <c r="E8" s="7">
        <f t="shared" si="3"/>
        <v>26447000</v>
      </c>
      <c r="F8" s="33">
        <f t="shared" si="3"/>
        <v>14310000</v>
      </c>
      <c r="G8" s="33">
        <f t="shared" si="3"/>
        <v>11077000</v>
      </c>
      <c r="H8" s="33">
        <f t="shared" si="3"/>
        <v>0</v>
      </c>
      <c r="I8" s="8">
        <f t="shared" si="1"/>
        <v>0</v>
      </c>
      <c r="J8" s="33">
        <f t="shared" si="4"/>
        <v>0</v>
      </c>
      <c r="K8" s="33">
        <f t="shared" si="4"/>
        <v>0</v>
      </c>
      <c r="L8" s="33">
        <f t="shared" si="4"/>
        <v>0</v>
      </c>
      <c r="M8" s="34">
        <f t="shared" si="2"/>
        <v>51834000</v>
      </c>
      <c r="P8" s="23" t="s">
        <v>27</v>
      </c>
      <c r="Q8" s="247">
        <v>73000</v>
      </c>
      <c r="R8" s="248">
        <v>53000</v>
      </c>
      <c r="S8" s="249">
        <v>53000</v>
      </c>
    </row>
    <row r="9" spans="4:26" x14ac:dyDescent="0.25">
      <c r="D9" s="32" t="s">
        <v>28</v>
      </c>
      <c r="E9" s="7">
        <f t="shared" si="3"/>
        <v>8786000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8">
        <f t="shared" si="1"/>
        <v>0</v>
      </c>
      <c r="J9" s="33">
        <f t="shared" si="4"/>
        <v>0</v>
      </c>
      <c r="K9" s="33">
        <f t="shared" si="4"/>
        <v>0</v>
      </c>
      <c r="L9" s="33">
        <f t="shared" si="4"/>
        <v>0</v>
      </c>
      <c r="M9" s="34">
        <f t="shared" si="2"/>
        <v>8786000</v>
      </c>
      <c r="P9" s="23" t="s">
        <v>28</v>
      </c>
      <c r="Q9" s="247">
        <v>63000</v>
      </c>
      <c r="R9" s="248">
        <v>46000</v>
      </c>
      <c r="S9" s="249">
        <v>46000</v>
      </c>
    </row>
    <row r="10" spans="4:26" ht="15.75" thickBot="1" x14ac:dyDescent="0.3">
      <c r="D10" s="35" t="s">
        <v>29</v>
      </c>
      <c r="E10" s="36">
        <f t="shared" si="3"/>
        <v>0</v>
      </c>
      <c r="F10" s="37">
        <f t="shared" si="3"/>
        <v>9472000</v>
      </c>
      <c r="G10" s="37">
        <f t="shared" si="3"/>
        <v>12025000</v>
      </c>
      <c r="H10" s="37">
        <f t="shared" si="3"/>
        <v>0</v>
      </c>
      <c r="I10" s="38">
        <f t="shared" si="1"/>
        <v>0</v>
      </c>
      <c r="J10" s="37">
        <f t="shared" si="4"/>
        <v>0</v>
      </c>
      <c r="K10" s="37">
        <f t="shared" si="4"/>
        <v>0</v>
      </c>
      <c r="L10" s="37">
        <f t="shared" si="4"/>
        <v>0</v>
      </c>
      <c r="M10" s="39">
        <f t="shared" si="2"/>
        <v>21497000</v>
      </c>
      <c r="P10" s="81" t="s">
        <v>29</v>
      </c>
      <c r="Q10" s="250">
        <v>51000</v>
      </c>
      <c r="R10" s="251">
        <v>37000</v>
      </c>
      <c r="S10" s="252">
        <v>37000</v>
      </c>
    </row>
    <row r="13" spans="4:26" ht="15.75" x14ac:dyDescent="0.25">
      <c r="D13" s="9" t="s">
        <v>30</v>
      </c>
      <c r="E13" s="10" t="s">
        <v>13</v>
      </c>
      <c r="F13" s="11" t="s">
        <v>14</v>
      </c>
      <c r="G13" s="11" t="s">
        <v>121</v>
      </c>
      <c r="H13" s="11" t="s">
        <v>16</v>
      </c>
      <c r="I13" s="12" t="s">
        <v>15</v>
      </c>
      <c r="J13" s="11" t="s">
        <v>17</v>
      </c>
      <c r="K13" s="11" t="s">
        <v>21</v>
      </c>
      <c r="L13" s="11" t="s">
        <v>18</v>
      </c>
      <c r="M13" s="10" t="s">
        <v>19</v>
      </c>
    </row>
    <row r="14" spans="4:26" ht="15.75" thickBot="1" x14ac:dyDescent="0.3">
      <c r="D14" s="13" t="s">
        <v>22</v>
      </c>
      <c r="E14" s="14">
        <f>SUM(E15:E20)</f>
        <v>705</v>
      </c>
      <c r="F14" s="15">
        <f t="shared" ref="F14:L14" si="5">SUM(F15:F20)</f>
        <v>526</v>
      </c>
      <c r="G14" s="15">
        <f t="shared" si="5"/>
        <v>534</v>
      </c>
      <c r="H14" s="15">
        <f>SUM(H15:H20)</f>
        <v>0</v>
      </c>
      <c r="I14" s="16">
        <f t="shared" si="5"/>
        <v>0</v>
      </c>
      <c r="J14" s="15">
        <f t="shared" si="5"/>
        <v>0</v>
      </c>
      <c r="K14" s="15">
        <f t="shared" si="5"/>
        <v>0</v>
      </c>
      <c r="L14" s="15">
        <f t="shared" si="5"/>
        <v>0</v>
      </c>
      <c r="M14" s="14">
        <f t="shared" ref="M14:M20" si="6">SUM(E14:I14)</f>
        <v>1765</v>
      </c>
    </row>
    <row r="15" spans="4:26" ht="15.75" thickTop="1" x14ac:dyDescent="0.25">
      <c r="D15" s="17" t="s">
        <v>24</v>
      </c>
      <c r="E15" s="18">
        <f>E25+E35</f>
        <v>0</v>
      </c>
      <c r="F15" s="19">
        <f t="shared" ref="F15:L15" si="7">F25+F35</f>
        <v>0</v>
      </c>
      <c r="G15" s="19">
        <f t="shared" si="7"/>
        <v>0</v>
      </c>
      <c r="H15" s="19">
        <f t="shared" ref="H15:H20" si="8">H25+H35</f>
        <v>0</v>
      </c>
      <c r="I15" s="20">
        <f t="shared" ref="I15:I20" si="9">SUM(J15:L15)</f>
        <v>0</v>
      </c>
      <c r="J15" s="19">
        <f t="shared" si="7"/>
        <v>0</v>
      </c>
      <c r="K15" s="19">
        <f t="shared" si="7"/>
        <v>0</v>
      </c>
      <c r="L15" s="21">
        <f t="shared" si="7"/>
        <v>0</v>
      </c>
      <c r="M15" s="18">
        <f t="shared" si="6"/>
        <v>0</v>
      </c>
    </row>
    <row r="16" spans="4:26" x14ac:dyDescent="0.25">
      <c r="D16" s="17" t="s">
        <v>25</v>
      </c>
      <c r="E16" s="18">
        <f t="shared" ref="E16:L20" si="10">E26+E36</f>
        <v>0</v>
      </c>
      <c r="F16" s="21">
        <f t="shared" si="10"/>
        <v>0</v>
      </c>
      <c r="G16" s="21">
        <f t="shared" si="10"/>
        <v>0</v>
      </c>
      <c r="H16" s="21">
        <f t="shared" si="8"/>
        <v>0</v>
      </c>
      <c r="I16" s="20">
        <f t="shared" si="9"/>
        <v>0</v>
      </c>
      <c r="J16" s="21">
        <f t="shared" si="10"/>
        <v>0</v>
      </c>
      <c r="K16" s="21">
        <f t="shared" si="10"/>
        <v>0</v>
      </c>
      <c r="L16" s="21">
        <f t="shared" si="10"/>
        <v>0</v>
      </c>
      <c r="M16" s="18">
        <f t="shared" si="6"/>
        <v>0</v>
      </c>
    </row>
    <row r="17" spans="4:13" x14ac:dyDescent="0.25">
      <c r="D17" s="17" t="s">
        <v>26</v>
      </c>
      <c r="E17" s="18">
        <f t="shared" si="10"/>
        <v>15</v>
      </c>
      <c r="F17" s="21">
        <f t="shared" si="10"/>
        <v>0</v>
      </c>
      <c r="G17" s="21">
        <f t="shared" si="10"/>
        <v>0</v>
      </c>
      <c r="H17" s="21">
        <f t="shared" si="8"/>
        <v>0</v>
      </c>
      <c r="I17" s="20">
        <f t="shared" si="9"/>
        <v>0</v>
      </c>
      <c r="J17" s="21">
        <f t="shared" si="10"/>
        <v>0</v>
      </c>
      <c r="K17" s="21">
        <f t="shared" si="10"/>
        <v>0</v>
      </c>
      <c r="L17" s="21">
        <f t="shared" si="10"/>
        <v>0</v>
      </c>
      <c r="M17" s="18">
        <f t="shared" si="6"/>
        <v>15</v>
      </c>
    </row>
    <row r="18" spans="4:13" x14ac:dyDescent="0.25">
      <c r="D18" s="17" t="s">
        <v>27</v>
      </c>
      <c r="E18" s="18">
        <f t="shared" si="10"/>
        <v>499</v>
      </c>
      <c r="F18" s="21">
        <f t="shared" si="10"/>
        <v>270</v>
      </c>
      <c r="G18" s="21">
        <f t="shared" si="10"/>
        <v>209</v>
      </c>
      <c r="H18" s="21">
        <f t="shared" si="8"/>
        <v>0</v>
      </c>
      <c r="I18" s="20">
        <f t="shared" si="9"/>
        <v>0</v>
      </c>
      <c r="J18" s="21">
        <f t="shared" si="10"/>
        <v>0</v>
      </c>
      <c r="K18" s="21">
        <f t="shared" si="10"/>
        <v>0</v>
      </c>
      <c r="L18" s="21">
        <f t="shared" si="10"/>
        <v>0</v>
      </c>
      <c r="M18" s="18">
        <f t="shared" si="6"/>
        <v>978</v>
      </c>
    </row>
    <row r="19" spans="4:13" x14ac:dyDescent="0.25">
      <c r="D19" s="17" t="s">
        <v>28</v>
      </c>
      <c r="E19" s="18">
        <f t="shared" si="10"/>
        <v>191</v>
      </c>
      <c r="F19" s="21">
        <f t="shared" si="10"/>
        <v>0</v>
      </c>
      <c r="G19" s="21">
        <f t="shared" si="10"/>
        <v>0</v>
      </c>
      <c r="H19" s="21">
        <f t="shared" si="8"/>
        <v>0</v>
      </c>
      <c r="I19" s="20">
        <f t="shared" si="9"/>
        <v>0</v>
      </c>
      <c r="J19" s="21">
        <f t="shared" si="10"/>
        <v>0</v>
      </c>
      <c r="K19" s="21">
        <f t="shared" si="10"/>
        <v>0</v>
      </c>
      <c r="L19" s="21">
        <f t="shared" si="10"/>
        <v>0</v>
      </c>
      <c r="M19" s="18">
        <f t="shared" si="6"/>
        <v>191</v>
      </c>
    </row>
    <row r="20" spans="4:13" x14ac:dyDescent="0.25">
      <c r="D20" s="17" t="s">
        <v>29</v>
      </c>
      <c r="E20" s="18">
        <f t="shared" si="10"/>
        <v>0</v>
      </c>
      <c r="F20" s="21">
        <f t="shared" si="10"/>
        <v>256</v>
      </c>
      <c r="G20" s="21">
        <f t="shared" si="10"/>
        <v>325</v>
      </c>
      <c r="H20" s="21">
        <f t="shared" si="8"/>
        <v>0</v>
      </c>
      <c r="I20" s="20">
        <f t="shared" si="9"/>
        <v>0</v>
      </c>
      <c r="J20" s="21">
        <f t="shared" si="10"/>
        <v>0</v>
      </c>
      <c r="K20" s="21">
        <f t="shared" si="10"/>
        <v>0</v>
      </c>
      <c r="L20" s="21">
        <f t="shared" si="10"/>
        <v>0</v>
      </c>
      <c r="M20" s="18">
        <f t="shared" si="6"/>
        <v>581</v>
      </c>
    </row>
    <row r="23" spans="4:13" ht="15.75" x14ac:dyDescent="0.25">
      <c r="D23" s="9" t="s">
        <v>30</v>
      </c>
      <c r="E23" s="10" t="s">
        <v>13</v>
      </c>
      <c r="F23" s="11" t="s">
        <v>14</v>
      </c>
      <c r="G23" s="11" t="s">
        <v>121</v>
      </c>
      <c r="H23" s="11" t="s">
        <v>16</v>
      </c>
      <c r="I23" s="12" t="s">
        <v>15</v>
      </c>
      <c r="J23" s="11" t="s">
        <v>17</v>
      </c>
      <c r="K23" s="11" t="s">
        <v>21</v>
      </c>
      <c r="L23" s="11" t="s">
        <v>18</v>
      </c>
      <c r="M23" s="10" t="s">
        <v>19</v>
      </c>
    </row>
    <row r="24" spans="4:13" ht="15.75" thickBot="1" x14ac:dyDescent="0.3">
      <c r="D24" s="13" t="s">
        <v>41</v>
      </c>
      <c r="E24" s="14">
        <f>SUM(E25:E30)</f>
        <v>97.5</v>
      </c>
      <c r="F24" s="15">
        <f t="shared" ref="F24:L24" si="11">SUM(F25:F30)</f>
        <v>-23</v>
      </c>
      <c r="G24" s="15">
        <f t="shared" si="11"/>
        <v>-44</v>
      </c>
      <c r="H24" s="15">
        <f>SUM(H25:H30)</f>
        <v>0</v>
      </c>
      <c r="I24" s="16">
        <f t="shared" si="11"/>
        <v>0</v>
      </c>
      <c r="J24" s="15">
        <f t="shared" si="11"/>
        <v>0</v>
      </c>
      <c r="K24" s="15">
        <f t="shared" si="11"/>
        <v>0</v>
      </c>
      <c r="L24" s="15">
        <f t="shared" si="11"/>
        <v>0</v>
      </c>
      <c r="M24" s="14">
        <f t="shared" ref="M24:M30" si="12">SUM(E24:I24)</f>
        <v>30.5</v>
      </c>
    </row>
    <row r="25" spans="4:13" ht="15.75" thickTop="1" x14ac:dyDescent="0.25">
      <c r="D25" s="17" t="s">
        <v>24</v>
      </c>
      <c r="E25" s="255">
        <v>0</v>
      </c>
      <c r="F25" s="256">
        <v>0</v>
      </c>
      <c r="G25" s="256">
        <v>0</v>
      </c>
      <c r="H25" s="256">
        <v>0</v>
      </c>
      <c r="I25" s="22">
        <f t="shared" ref="I25:I30" si="13">SUM(J25:L25)</f>
        <v>0</v>
      </c>
      <c r="J25" s="256">
        <v>0</v>
      </c>
      <c r="K25" s="256">
        <v>0</v>
      </c>
      <c r="L25" s="256">
        <v>0</v>
      </c>
      <c r="M25" s="18">
        <f t="shared" si="12"/>
        <v>0</v>
      </c>
    </row>
    <row r="26" spans="4:13" x14ac:dyDescent="0.25">
      <c r="D26" s="17" t="s">
        <v>25</v>
      </c>
      <c r="E26" s="255">
        <v>0</v>
      </c>
      <c r="F26" s="256">
        <v>0</v>
      </c>
      <c r="G26" s="256">
        <v>0</v>
      </c>
      <c r="H26" s="256">
        <v>0</v>
      </c>
      <c r="I26" s="22">
        <f t="shared" si="13"/>
        <v>0</v>
      </c>
      <c r="J26" s="256">
        <v>0</v>
      </c>
      <c r="K26" s="256">
        <v>0</v>
      </c>
      <c r="L26" s="256">
        <v>0</v>
      </c>
      <c r="M26" s="18">
        <f t="shared" si="12"/>
        <v>0</v>
      </c>
    </row>
    <row r="27" spans="4:13" x14ac:dyDescent="0.25">
      <c r="D27" s="17" t="s">
        <v>26</v>
      </c>
      <c r="E27" s="255">
        <v>0</v>
      </c>
      <c r="F27" s="256">
        <v>0</v>
      </c>
      <c r="G27" s="256">
        <v>0</v>
      </c>
      <c r="H27" s="256">
        <v>0</v>
      </c>
      <c r="I27" s="22">
        <f t="shared" si="13"/>
        <v>0</v>
      </c>
      <c r="J27" s="256">
        <v>0</v>
      </c>
      <c r="K27" s="256">
        <v>0</v>
      </c>
      <c r="L27" s="256">
        <v>0</v>
      </c>
      <c r="M27" s="18">
        <f t="shared" si="12"/>
        <v>0</v>
      </c>
    </row>
    <row r="28" spans="4:13" x14ac:dyDescent="0.25">
      <c r="D28" s="17" t="s">
        <v>27</v>
      </c>
      <c r="E28" s="255">
        <f>9.5-14+43+4+22+33</f>
        <v>97.5</v>
      </c>
      <c r="F28" s="256">
        <f>-20-21+4-9+23</f>
        <v>-23</v>
      </c>
      <c r="G28" s="256">
        <f>10+14+20-22+3-13-56</f>
        <v>-44</v>
      </c>
      <c r="H28" s="256">
        <v>0</v>
      </c>
      <c r="I28" s="22">
        <f t="shared" si="13"/>
        <v>0</v>
      </c>
      <c r="J28" s="256">
        <v>0</v>
      </c>
      <c r="K28" s="256">
        <v>0</v>
      </c>
      <c r="L28" s="256">
        <f>10-10</f>
        <v>0</v>
      </c>
      <c r="M28" s="18">
        <f t="shared" si="12"/>
        <v>30.5</v>
      </c>
    </row>
    <row r="29" spans="4:13" x14ac:dyDescent="0.25">
      <c r="D29" s="17" t="s">
        <v>28</v>
      </c>
      <c r="E29" s="255">
        <v>0</v>
      </c>
      <c r="F29" s="256">
        <v>0</v>
      </c>
      <c r="G29" s="256">
        <v>0</v>
      </c>
      <c r="H29" s="256">
        <v>0</v>
      </c>
      <c r="I29" s="22">
        <f t="shared" si="13"/>
        <v>0</v>
      </c>
      <c r="J29" s="256">
        <v>0</v>
      </c>
      <c r="K29" s="256">
        <v>0</v>
      </c>
      <c r="L29" s="256">
        <v>0</v>
      </c>
      <c r="M29" s="18">
        <f t="shared" si="12"/>
        <v>0</v>
      </c>
    </row>
    <row r="30" spans="4:13" x14ac:dyDescent="0.25">
      <c r="D30" s="17" t="s">
        <v>29</v>
      </c>
      <c r="E30" s="255">
        <v>0</v>
      </c>
      <c r="F30" s="256">
        <v>0</v>
      </c>
      <c r="G30" s="256">
        <v>0</v>
      </c>
      <c r="H30" s="256">
        <v>0</v>
      </c>
      <c r="I30" s="22">
        <f t="shared" si="13"/>
        <v>0</v>
      </c>
      <c r="J30" s="256">
        <v>0</v>
      </c>
      <c r="K30" s="256">
        <v>0</v>
      </c>
      <c r="L30" s="256">
        <v>0</v>
      </c>
      <c r="M30" s="18">
        <f t="shared" si="12"/>
        <v>0</v>
      </c>
    </row>
    <row r="33" spans="4:13" ht="15.75" x14ac:dyDescent="0.25">
      <c r="D33" s="9" t="s">
        <v>30</v>
      </c>
      <c r="E33" s="10" t="s">
        <v>13</v>
      </c>
      <c r="F33" s="11" t="s">
        <v>14</v>
      </c>
      <c r="G33" s="11" t="s">
        <v>121</v>
      </c>
      <c r="H33" s="11" t="s">
        <v>16</v>
      </c>
      <c r="I33" s="12" t="s">
        <v>15</v>
      </c>
      <c r="J33" s="11" t="s">
        <v>17</v>
      </c>
      <c r="K33" s="11" t="s">
        <v>21</v>
      </c>
      <c r="L33" s="11" t="s">
        <v>18</v>
      </c>
      <c r="M33" s="10" t="s">
        <v>19</v>
      </c>
    </row>
    <row r="34" spans="4:13" ht="15.75" thickBot="1" x14ac:dyDescent="0.3">
      <c r="D34" s="13" t="s">
        <v>42</v>
      </c>
      <c r="E34" s="14">
        <f>SUM(E35:E40)</f>
        <v>607.5</v>
      </c>
      <c r="F34" s="15">
        <f t="shared" ref="F34:L34" si="14">SUM(F35:F40)</f>
        <v>549</v>
      </c>
      <c r="G34" s="15">
        <f t="shared" si="14"/>
        <v>578</v>
      </c>
      <c r="H34" s="15">
        <f>SUM(H35:H40)</f>
        <v>0</v>
      </c>
      <c r="I34" s="16">
        <f t="shared" si="14"/>
        <v>0</v>
      </c>
      <c r="J34" s="15">
        <f t="shared" si="14"/>
        <v>0</v>
      </c>
      <c r="K34" s="15">
        <f t="shared" si="14"/>
        <v>0</v>
      </c>
      <c r="L34" s="15">
        <f t="shared" si="14"/>
        <v>0</v>
      </c>
      <c r="M34" s="14">
        <f t="shared" ref="M34:M40" si="15">SUM(E34:I34)</f>
        <v>1734.5</v>
      </c>
    </row>
    <row r="35" spans="4:13" ht="15.75" thickTop="1" x14ac:dyDescent="0.25">
      <c r="D35" s="17" t="s">
        <v>24</v>
      </c>
      <c r="E35" s="255">
        <v>0</v>
      </c>
      <c r="F35" s="256">
        <v>0</v>
      </c>
      <c r="G35" s="256">
        <v>0</v>
      </c>
      <c r="H35" s="256">
        <v>0</v>
      </c>
      <c r="I35" s="22">
        <f t="shared" ref="I35:I40" si="16">SUM(J35:L35)</f>
        <v>0</v>
      </c>
      <c r="J35" s="256">
        <v>0</v>
      </c>
      <c r="K35" s="256">
        <v>0</v>
      </c>
      <c r="L35" s="256">
        <v>0</v>
      </c>
      <c r="M35" s="18">
        <f t="shared" si="15"/>
        <v>0</v>
      </c>
    </row>
    <row r="36" spans="4:13" x14ac:dyDescent="0.25">
      <c r="D36" s="17" t="s">
        <v>25</v>
      </c>
      <c r="E36" s="255">
        <v>0</v>
      </c>
      <c r="F36" s="256">
        <v>0</v>
      </c>
      <c r="G36" s="256">
        <v>0</v>
      </c>
      <c r="H36" s="256">
        <v>0</v>
      </c>
      <c r="I36" s="22">
        <f t="shared" si="16"/>
        <v>0</v>
      </c>
      <c r="J36" s="256">
        <v>0</v>
      </c>
      <c r="K36" s="256">
        <v>0</v>
      </c>
      <c r="L36" s="256">
        <v>0</v>
      </c>
      <c r="M36" s="18">
        <f t="shared" si="15"/>
        <v>0</v>
      </c>
    </row>
    <row r="37" spans="4:13" x14ac:dyDescent="0.25">
      <c r="D37" s="17" t="s">
        <v>26</v>
      </c>
      <c r="E37" s="255">
        <v>15</v>
      </c>
      <c r="F37" s="256">
        <v>0</v>
      </c>
      <c r="G37" s="256">
        <v>0</v>
      </c>
      <c r="H37" s="256">
        <v>0</v>
      </c>
      <c r="I37" s="22">
        <f t="shared" si="16"/>
        <v>0</v>
      </c>
      <c r="J37" s="256">
        <v>0</v>
      </c>
      <c r="K37" s="256">
        <v>0</v>
      </c>
      <c r="L37" s="256">
        <v>0</v>
      </c>
      <c r="M37" s="18">
        <f t="shared" si="15"/>
        <v>15</v>
      </c>
    </row>
    <row r="38" spans="4:13" x14ac:dyDescent="0.25">
      <c r="D38" s="17" t="s">
        <v>27</v>
      </c>
      <c r="E38" s="255">
        <v>401.5</v>
      </c>
      <c r="F38" s="256">
        <v>293</v>
      </c>
      <c r="G38" s="256">
        <v>253</v>
      </c>
      <c r="H38" s="256">
        <v>0</v>
      </c>
      <c r="I38" s="22">
        <f t="shared" si="16"/>
        <v>0</v>
      </c>
      <c r="J38" s="256">
        <v>0</v>
      </c>
      <c r="K38" s="256">
        <v>0</v>
      </c>
      <c r="L38" s="256">
        <v>0</v>
      </c>
      <c r="M38" s="18">
        <f t="shared" si="15"/>
        <v>947.5</v>
      </c>
    </row>
    <row r="39" spans="4:13" x14ac:dyDescent="0.25">
      <c r="D39" s="17" t="s">
        <v>28</v>
      </c>
      <c r="E39" s="255">
        <v>191</v>
      </c>
      <c r="F39" s="256">
        <v>0</v>
      </c>
      <c r="G39" s="256">
        <v>0</v>
      </c>
      <c r="H39" s="256">
        <v>0</v>
      </c>
      <c r="I39" s="22">
        <f t="shared" si="16"/>
        <v>0</v>
      </c>
      <c r="J39" s="256">
        <v>0</v>
      </c>
      <c r="K39" s="256">
        <v>0</v>
      </c>
      <c r="L39" s="256">
        <v>0</v>
      </c>
      <c r="M39" s="18">
        <f t="shared" si="15"/>
        <v>191</v>
      </c>
    </row>
    <row r="40" spans="4:13" x14ac:dyDescent="0.25">
      <c r="D40" s="17" t="s">
        <v>29</v>
      </c>
      <c r="E40" s="255">
        <v>0</v>
      </c>
      <c r="F40" s="256">
        <v>256</v>
      </c>
      <c r="G40" s="256">
        <v>325</v>
      </c>
      <c r="H40" s="256">
        <v>0</v>
      </c>
      <c r="I40" s="22">
        <f t="shared" si="16"/>
        <v>0</v>
      </c>
      <c r="J40" s="256">
        <v>0</v>
      </c>
      <c r="K40" s="256">
        <v>0</v>
      </c>
      <c r="L40" s="256">
        <v>0</v>
      </c>
      <c r="M40" s="18">
        <f t="shared" si="15"/>
        <v>581</v>
      </c>
    </row>
    <row r="43" spans="4:13" ht="15.75" x14ac:dyDescent="0.25">
      <c r="D43" s="1" t="s">
        <v>39</v>
      </c>
    </row>
    <row r="44" spans="4:13" ht="15" customHeight="1" x14ac:dyDescent="0.25">
      <c r="D44" s="298" t="s">
        <v>124</v>
      </c>
      <c r="E44" s="299"/>
      <c r="F44" s="299"/>
      <c r="G44" s="299"/>
      <c r="H44" s="299"/>
      <c r="I44" s="299"/>
      <c r="J44" s="299"/>
      <c r="K44" s="299"/>
      <c r="L44" s="299"/>
      <c r="M44" s="300"/>
    </row>
    <row r="45" spans="4:13" x14ac:dyDescent="0.25">
      <c r="D45" s="301"/>
      <c r="E45" s="302"/>
      <c r="F45" s="302"/>
      <c r="G45" s="302"/>
      <c r="H45" s="302"/>
      <c r="I45" s="302"/>
      <c r="J45" s="302"/>
      <c r="K45" s="302"/>
      <c r="L45" s="302"/>
      <c r="M45" s="303"/>
    </row>
    <row r="46" spans="4:13" x14ac:dyDescent="0.25">
      <c r="D46" s="301"/>
      <c r="E46" s="302"/>
      <c r="F46" s="302"/>
      <c r="G46" s="302"/>
      <c r="H46" s="302"/>
      <c r="I46" s="302"/>
      <c r="J46" s="302"/>
      <c r="K46" s="302"/>
      <c r="L46" s="302"/>
      <c r="M46" s="303"/>
    </row>
    <row r="47" spans="4:13" x14ac:dyDescent="0.25">
      <c r="D47" s="301"/>
      <c r="E47" s="302"/>
      <c r="F47" s="302"/>
      <c r="G47" s="302"/>
      <c r="H47" s="302"/>
      <c r="I47" s="302"/>
      <c r="J47" s="302"/>
      <c r="K47" s="302"/>
      <c r="L47" s="302"/>
      <c r="M47" s="303"/>
    </row>
    <row r="48" spans="4:13" x14ac:dyDescent="0.25">
      <c r="D48" s="301"/>
      <c r="E48" s="302"/>
      <c r="F48" s="302"/>
      <c r="G48" s="302"/>
      <c r="H48" s="302"/>
      <c r="I48" s="302"/>
      <c r="J48" s="302"/>
      <c r="K48" s="302"/>
      <c r="L48" s="302"/>
      <c r="M48" s="303"/>
    </row>
    <row r="49" spans="4:26" x14ac:dyDescent="0.25">
      <c r="D49" s="301"/>
      <c r="E49" s="302"/>
      <c r="F49" s="302"/>
      <c r="G49" s="302"/>
      <c r="H49" s="302"/>
      <c r="I49" s="302"/>
      <c r="J49" s="302"/>
      <c r="K49" s="302"/>
      <c r="L49" s="302"/>
      <c r="M49" s="303"/>
    </row>
    <row r="50" spans="4:26" x14ac:dyDescent="0.25">
      <c r="D50" s="301"/>
      <c r="E50" s="302"/>
      <c r="F50" s="302"/>
      <c r="G50" s="302"/>
      <c r="H50" s="302"/>
      <c r="I50" s="302"/>
      <c r="J50" s="302"/>
      <c r="K50" s="302"/>
      <c r="L50" s="302"/>
      <c r="M50" s="303"/>
    </row>
    <row r="51" spans="4:26" x14ac:dyDescent="0.25">
      <c r="D51" s="301"/>
      <c r="E51" s="302"/>
      <c r="F51" s="302"/>
      <c r="G51" s="302"/>
      <c r="H51" s="302"/>
      <c r="I51" s="302"/>
      <c r="J51" s="302"/>
      <c r="K51" s="302"/>
      <c r="L51" s="302"/>
      <c r="M51" s="303"/>
    </row>
    <row r="52" spans="4:26" x14ac:dyDescent="0.25">
      <c r="D52" s="304"/>
      <c r="E52" s="305"/>
      <c r="F52" s="305"/>
      <c r="G52" s="305"/>
      <c r="H52" s="305"/>
      <c r="I52" s="305"/>
      <c r="J52" s="305"/>
      <c r="K52" s="305"/>
      <c r="L52" s="305"/>
      <c r="M52" s="306"/>
    </row>
    <row r="54" spans="4:26" ht="15.75" thickBot="1" x14ac:dyDescent="0.3">
      <c r="D54" s="241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</row>
    <row r="56" spans="4:26" ht="15.75" x14ac:dyDescent="0.25">
      <c r="D56" s="42" t="s">
        <v>46</v>
      </c>
      <c r="E56" s="43" t="s">
        <v>13</v>
      </c>
      <c r="F56" s="44" t="s">
        <v>14</v>
      </c>
      <c r="G56" s="44" t="s">
        <v>121</v>
      </c>
      <c r="H56" s="44" t="s">
        <v>16</v>
      </c>
      <c r="I56" s="45" t="s">
        <v>15</v>
      </c>
    </row>
    <row r="57" spans="4:26" x14ac:dyDescent="0.25">
      <c r="D57" s="42">
        <f>D58-1</f>
        <v>2012</v>
      </c>
      <c r="E57" s="257">
        <v>30583000</v>
      </c>
      <c r="F57" s="258">
        <v>24452000</v>
      </c>
      <c r="G57" s="258">
        <v>24856000</v>
      </c>
      <c r="H57" s="258">
        <v>0</v>
      </c>
      <c r="I57" s="259">
        <v>0</v>
      </c>
    </row>
    <row r="58" spans="4:26" x14ac:dyDescent="0.25">
      <c r="D58" s="42">
        <f>D1</f>
        <v>2013</v>
      </c>
      <c r="E58" s="46">
        <f>E4</f>
        <v>36373000</v>
      </c>
      <c r="F58" s="47">
        <f>F4</f>
        <v>23782000</v>
      </c>
      <c r="G58" s="47">
        <f>G4</f>
        <v>23102000</v>
      </c>
      <c r="H58" s="47">
        <f>H4</f>
        <v>0</v>
      </c>
      <c r="I58" s="48">
        <f>I4</f>
        <v>0</v>
      </c>
    </row>
  </sheetData>
  <sheetProtection password="F489" sheet="1" objects="1" scenarios="1" selectLockedCells="1"/>
  <mergeCells count="2">
    <mergeCell ref="V3:V4"/>
    <mergeCell ref="D44:M52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&amp;L&amp;F: &amp;A&amp;C&amp;D: &amp;T&amp;RSide &amp;P av &amp;N</oddFooter>
  </headerFooter>
  <ignoredErrors>
    <ignoredError sqref="I15:I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58"/>
  <sheetViews>
    <sheetView zoomScaleNormal="100" workbookViewId="0">
      <selection activeCell="B1" sqref="B1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5" width="10.28515625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56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30" t="s">
        <v>22</v>
      </c>
      <c r="E4" s="4">
        <f>SUM(E5:E10)</f>
        <v>14733733.333333334</v>
      </c>
      <c r="F4" s="5">
        <f t="shared" ref="F4:L4" si="0">SUM(F5:F10)</f>
        <v>14678000</v>
      </c>
      <c r="G4" s="5">
        <f t="shared" si="0"/>
        <v>12289733.333333334</v>
      </c>
      <c r="H4" s="5">
        <f t="shared" si="0"/>
        <v>0</v>
      </c>
      <c r="I4" s="6">
        <f t="shared" ref="I4:I10" si="1">SUM(J4:L4)</f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31">
        <f t="shared" ref="M4:M10" si="2">SUM(E4:I4)</f>
        <v>41701466.666666672</v>
      </c>
      <c r="P4" s="23"/>
      <c r="Q4" s="23"/>
      <c r="R4" s="253" t="s">
        <v>61</v>
      </c>
      <c r="S4" s="254">
        <v>1</v>
      </c>
      <c r="V4" s="297"/>
      <c r="W4" s="85">
        <f>'0-Total'!N6</f>
        <v>41132600</v>
      </c>
      <c r="X4" s="85">
        <f>M4</f>
        <v>41701466.666666672</v>
      </c>
      <c r="Y4" s="86">
        <f>W4-X4</f>
        <v>-568866.66666667163</v>
      </c>
      <c r="Z4" s="87">
        <f>IFERROR(Y4/W4,"-")</f>
        <v>-1.3830068283227212E-2</v>
      </c>
    </row>
    <row r="5" spans="4:26" ht="15.75" thickTop="1" x14ac:dyDescent="0.25">
      <c r="D5" s="32" t="s">
        <v>24</v>
      </c>
      <c r="E5" s="7">
        <f t="shared" ref="E5:H10" si="3">E15*$S5</f>
        <v>0</v>
      </c>
      <c r="F5" s="33">
        <f t="shared" si="3"/>
        <v>0</v>
      </c>
      <c r="G5" s="33">
        <f t="shared" si="3"/>
        <v>0</v>
      </c>
      <c r="H5" s="33">
        <f t="shared" si="3"/>
        <v>0</v>
      </c>
      <c r="I5" s="8">
        <f t="shared" si="1"/>
        <v>0</v>
      </c>
      <c r="J5" s="33">
        <f t="shared" ref="J5:L10" si="4">J15*$S5</f>
        <v>0</v>
      </c>
      <c r="K5" s="33">
        <f t="shared" si="4"/>
        <v>0</v>
      </c>
      <c r="L5" s="33">
        <f t="shared" si="4"/>
        <v>0</v>
      </c>
      <c r="M5" s="34">
        <f t="shared" si="2"/>
        <v>0</v>
      </c>
      <c r="P5" s="23" t="s">
        <v>24</v>
      </c>
      <c r="Q5" s="247">
        <v>135000</v>
      </c>
      <c r="R5" s="248">
        <v>77000</v>
      </c>
      <c r="S5" s="249">
        <v>77000</v>
      </c>
    </row>
    <row r="6" spans="4:26" ht="15.75" customHeight="1" x14ac:dyDescent="0.25">
      <c r="D6" s="32" t="s">
        <v>25</v>
      </c>
      <c r="E6" s="7">
        <f t="shared" si="3"/>
        <v>0</v>
      </c>
      <c r="F6" s="33">
        <f t="shared" si="3"/>
        <v>0</v>
      </c>
      <c r="G6" s="33">
        <f t="shared" si="3"/>
        <v>0</v>
      </c>
      <c r="H6" s="33">
        <f t="shared" si="3"/>
        <v>0</v>
      </c>
      <c r="I6" s="8">
        <f t="shared" si="1"/>
        <v>0</v>
      </c>
      <c r="J6" s="33">
        <f t="shared" si="4"/>
        <v>0</v>
      </c>
      <c r="K6" s="33">
        <f t="shared" si="4"/>
        <v>0</v>
      </c>
      <c r="L6" s="33">
        <f t="shared" si="4"/>
        <v>0</v>
      </c>
      <c r="M6" s="34">
        <f t="shared" si="2"/>
        <v>0</v>
      </c>
      <c r="P6" s="23" t="s">
        <v>25</v>
      </c>
      <c r="Q6" s="247">
        <v>103000</v>
      </c>
      <c r="R6" s="248">
        <v>59000</v>
      </c>
      <c r="S6" s="249">
        <v>59000</v>
      </c>
      <c r="V6" s="1" t="s">
        <v>39</v>
      </c>
    </row>
    <row r="7" spans="4:26" ht="15" customHeight="1" x14ac:dyDescent="0.25">
      <c r="D7" s="32" t="s">
        <v>26</v>
      </c>
      <c r="E7" s="7">
        <f t="shared" si="3"/>
        <v>13333.333333333332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8">
        <f t="shared" si="1"/>
        <v>0</v>
      </c>
      <c r="J7" s="33">
        <f t="shared" si="4"/>
        <v>0</v>
      </c>
      <c r="K7" s="33">
        <f t="shared" si="4"/>
        <v>0</v>
      </c>
      <c r="L7" s="33">
        <f t="shared" si="4"/>
        <v>0</v>
      </c>
      <c r="M7" s="34">
        <f t="shared" si="2"/>
        <v>13333.333333333332</v>
      </c>
      <c r="P7" s="23" t="s">
        <v>26</v>
      </c>
      <c r="Q7" s="247">
        <v>69000</v>
      </c>
      <c r="R7" s="248">
        <v>40000</v>
      </c>
      <c r="S7" s="249">
        <v>40000</v>
      </c>
      <c r="V7" s="298"/>
      <c r="W7" s="299"/>
      <c r="X7" s="299"/>
      <c r="Y7" s="299"/>
      <c r="Z7" s="300"/>
    </row>
    <row r="8" spans="4:26" x14ac:dyDescent="0.25">
      <c r="D8" s="32" t="s">
        <v>27</v>
      </c>
      <c r="E8" s="7">
        <f t="shared" si="3"/>
        <v>13755466.666666666</v>
      </c>
      <c r="F8" s="33">
        <f t="shared" si="3"/>
        <v>7799866.666666667</v>
      </c>
      <c r="G8" s="33">
        <f t="shared" si="3"/>
        <v>6045200</v>
      </c>
      <c r="H8" s="33">
        <f t="shared" si="3"/>
        <v>0</v>
      </c>
      <c r="I8" s="8">
        <f t="shared" si="1"/>
        <v>0</v>
      </c>
      <c r="J8" s="33">
        <f t="shared" si="4"/>
        <v>0</v>
      </c>
      <c r="K8" s="33">
        <f t="shared" si="4"/>
        <v>0</v>
      </c>
      <c r="L8" s="33">
        <f t="shared" si="4"/>
        <v>0</v>
      </c>
      <c r="M8" s="34">
        <f t="shared" si="2"/>
        <v>27600533.333333332</v>
      </c>
      <c r="P8" s="23" t="s">
        <v>27</v>
      </c>
      <c r="Q8" s="247">
        <v>49000</v>
      </c>
      <c r="R8" s="248">
        <v>28000</v>
      </c>
      <c r="S8" s="249">
        <v>28000</v>
      </c>
      <c r="V8" s="301"/>
      <c r="W8" s="302"/>
      <c r="X8" s="302"/>
      <c r="Y8" s="302"/>
      <c r="Z8" s="303"/>
    </row>
    <row r="9" spans="4:26" x14ac:dyDescent="0.25">
      <c r="D9" s="32" t="s">
        <v>28</v>
      </c>
      <c r="E9" s="7">
        <f t="shared" si="3"/>
        <v>837600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8">
        <f t="shared" si="1"/>
        <v>0</v>
      </c>
      <c r="J9" s="33">
        <f t="shared" si="4"/>
        <v>0</v>
      </c>
      <c r="K9" s="33">
        <f t="shared" si="4"/>
        <v>0</v>
      </c>
      <c r="L9" s="33">
        <f t="shared" si="4"/>
        <v>0</v>
      </c>
      <c r="M9" s="34">
        <f t="shared" si="2"/>
        <v>837600</v>
      </c>
      <c r="P9" s="23" t="s">
        <v>28</v>
      </c>
      <c r="Q9" s="247">
        <v>42000</v>
      </c>
      <c r="R9" s="248">
        <v>24000</v>
      </c>
      <c r="S9" s="249">
        <v>24000</v>
      </c>
      <c r="V9" s="301"/>
      <c r="W9" s="302"/>
      <c r="X9" s="302"/>
      <c r="Y9" s="302"/>
      <c r="Z9" s="303"/>
    </row>
    <row r="10" spans="4:26" ht="15.75" thickBot="1" x14ac:dyDescent="0.3">
      <c r="D10" s="35" t="s">
        <v>29</v>
      </c>
      <c r="E10" s="36">
        <f t="shared" si="3"/>
        <v>127333.33333333334</v>
      </c>
      <c r="F10" s="37">
        <f t="shared" si="3"/>
        <v>6878133.333333334</v>
      </c>
      <c r="G10" s="37">
        <f t="shared" si="3"/>
        <v>6244533.333333334</v>
      </c>
      <c r="H10" s="37">
        <f t="shared" si="3"/>
        <v>0</v>
      </c>
      <c r="I10" s="38">
        <f t="shared" si="1"/>
        <v>0</v>
      </c>
      <c r="J10" s="37">
        <f t="shared" si="4"/>
        <v>0</v>
      </c>
      <c r="K10" s="37">
        <f t="shared" si="4"/>
        <v>0</v>
      </c>
      <c r="L10" s="37">
        <f t="shared" si="4"/>
        <v>0</v>
      </c>
      <c r="M10" s="39">
        <f t="shared" si="2"/>
        <v>13250000</v>
      </c>
      <c r="P10" s="81" t="s">
        <v>29</v>
      </c>
      <c r="Q10" s="250">
        <v>34000</v>
      </c>
      <c r="R10" s="251">
        <v>20000</v>
      </c>
      <c r="S10" s="252">
        <v>20000</v>
      </c>
      <c r="V10" s="304"/>
      <c r="W10" s="305"/>
      <c r="X10" s="305"/>
      <c r="Y10" s="305"/>
      <c r="Z10" s="306"/>
    </row>
    <row r="13" spans="4:26" ht="15.75" x14ac:dyDescent="0.25">
      <c r="D13" s="9" t="s">
        <v>57</v>
      </c>
      <c r="E13" s="10" t="s">
        <v>13</v>
      </c>
      <c r="F13" s="11" t="s">
        <v>14</v>
      </c>
      <c r="G13" s="11" t="s">
        <v>121</v>
      </c>
      <c r="H13" s="11" t="s">
        <v>16</v>
      </c>
      <c r="I13" s="12" t="s">
        <v>15</v>
      </c>
      <c r="J13" s="11" t="s">
        <v>17</v>
      </c>
      <c r="K13" s="11" t="s">
        <v>21</v>
      </c>
      <c r="L13" s="11" t="s">
        <v>18</v>
      </c>
      <c r="M13" s="10" t="s">
        <v>19</v>
      </c>
    </row>
    <row r="14" spans="4:26" ht="15.75" thickBot="1" x14ac:dyDescent="0.3">
      <c r="D14" s="13" t="s">
        <v>58</v>
      </c>
      <c r="E14" s="14">
        <f>SUM(E15:E20)</f>
        <v>532.86666666666667</v>
      </c>
      <c r="F14" s="15">
        <f t="shared" ref="F14:L14" si="5">SUM(F15:F20)</f>
        <v>622.47333333333336</v>
      </c>
      <c r="G14" s="15">
        <f t="shared" si="5"/>
        <v>528.12666666666667</v>
      </c>
      <c r="H14" s="15">
        <f t="shared" si="5"/>
        <v>0</v>
      </c>
      <c r="I14" s="16">
        <f t="shared" si="5"/>
        <v>0</v>
      </c>
      <c r="J14" s="15">
        <f t="shared" si="5"/>
        <v>0</v>
      </c>
      <c r="K14" s="15">
        <f t="shared" si="5"/>
        <v>0</v>
      </c>
      <c r="L14" s="15">
        <f t="shared" si="5"/>
        <v>0</v>
      </c>
      <c r="M14" s="14">
        <f t="shared" ref="M14:M20" si="6">SUM(E14:I14)</f>
        <v>1683.4666666666667</v>
      </c>
    </row>
    <row r="15" spans="4:26" ht="15.75" thickTop="1" x14ac:dyDescent="0.25">
      <c r="D15" s="17" t="s">
        <v>24</v>
      </c>
      <c r="E15" s="18">
        <f>(E25+E35+E45)/3</f>
        <v>0</v>
      </c>
      <c r="F15" s="19">
        <f>(F25+F35+F45)/3</f>
        <v>0</v>
      </c>
      <c r="G15" s="19">
        <f>(G25+G35+G45)/3</f>
        <v>0</v>
      </c>
      <c r="H15" s="21">
        <f>(H25+H35+H45)/3</f>
        <v>0</v>
      </c>
      <c r="I15" s="24">
        <f t="shared" ref="I15:I20" si="7">SUM(J15:L15)</f>
        <v>0</v>
      </c>
      <c r="J15" s="67">
        <f t="shared" ref="J15:L20" si="8">(J25+J35+J45)/3</f>
        <v>0</v>
      </c>
      <c r="K15" s="19">
        <f t="shared" si="8"/>
        <v>0</v>
      </c>
      <c r="L15" s="21">
        <f t="shared" si="8"/>
        <v>0</v>
      </c>
      <c r="M15" s="18">
        <f t="shared" si="6"/>
        <v>0</v>
      </c>
    </row>
    <row r="16" spans="4:26" x14ac:dyDescent="0.25">
      <c r="D16" s="17" t="s">
        <v>25</v>
      </c>
      <c r="E16" s="18">
        <f t="shared" ref="E16:H20" si="9">(E26+E36+E46)/3</f>
        <v>0</v>
      </c>
      <c r="F16" s="21">
        <f t="shared" si="9"/>
        <v>0</v>
      </c>
      <c r="G16" s="21">
        <f t="shared" si="9"/>
        <v>0</v>
      </c>
      <c r="H16" s="21">
        <f t="shared" si="9"/>
        <v>0</v>
      </c>
      <c r="I16" s="24">
        <f t="shared" si="7"/>
        <v>0</v>
      </c>
      <c r="J16" s="68">
        <f t="shared" si="8"/>
        <v>0</v>
      </c>
      <c r="K16" s="21">
        <f t="shared" si="8"/>
        <v>0</v>
      </c>
      <c r="L16" s="21">
        <f t="shared" si="8"/>
        <v>0</v>
      </c>
      <c r="M16" s="18">
        <f t="shared" si="6"/>
        <v>0</v>
      </c>
    </row>
    <row r="17" spans="4:13" x14ac:dyDescent="0.25">
      <c r="D17" s="17" t="s">
        <v>26</v>
      </c>
      <c r="E17" s="18">
        <f t="shared" si="9"/>
        <v>0.33333333333333331</v>
      </c>
      <c r="F17" s="21">
        <f t="shared" si="9"/>
        <v>0</v>
      </c>
      <c r="G17" s="21">
        <f t="shared" si="9"/>
        <v>0</v>
      </c>
      <c r="H17" s="21">
        <f t="shared" si="9"/>
        <v>0</v>
      </c>
      <c r="I17" s="24">
        <f t="shared" si="7"/>
        <v>0</v>
      </c>
      <c r="J17" s="68">
        <f t="shared" si="8"/>
        <v>0</v>
      </c>
      <c r="K17" s="21">
        <f t="shared" si="8"/>
        <v>0</v>
      </c>
      <c r="L17" s="21">
        <f t="shared" si="8"/>
        <v>0</v>
      </c>
      <c r="M17" s="18">
        <f t="shared" si="6"/>
        <v>0.33333333333333331</v>
      </c>
    </row>
    <row r="18" spans="4:13" x14ac:dyDescent="0.25">
      <c r="D18" s="17" t="s">
        <v>27</v>
      </c>
      <c r="E18" s="18">
        <f t="shared" si="9"/>
        <v>491.26666666666665</v>
      </c>
      <c r="F18" s="21">
        <f t="shared" si="9"/>
        <v>278.56666666666666</v>
      </c>
      <c r="G18" s="21">
        <f t="shared" si="9"/>
        <v>215.9</v>
      </c>
      <c r="H18" s="21">
        <f t="shared" si="9"/>
        <v>0</v>
      </c>
      <c r="I18" s="24">
        <f t="shared" si="7"/>
        <v>0</v>
      </c>
      <c r="J18" s="68">
        <f t="shared" si="8"/>
        <v>0</v>
      </c>
      <c r="K18" s="21">
        <f t="shared" si="8"/>
        <v>0</v>
      </c>
      <c r="L18" s="21">
        <f t="shared" si="8"/>
        <v>0</v>
      </c>
      <c r="M18" s="18">
        <f t="shared" si="6"/>
        <v>985.73333333333323</v>
      </c>
    </row>
    <row r="19" spans="4:13" x14ac:dyDescent="0.25">
      <c r="D19" s="17" t="s">
        <v>28</v>
      </c>
      <c r="E19" s="18">
        <f t="shared" si="9"/>
        <v>34.9</v>
      </c>
      <c r="F19" s="21">
        <f t="shared" si="9"/>
        <v>0</v>
      </c>
      <c r="G19" s="21">
        <f t="shared" si="9"/>
        <v>0</v>
      </c>
      <c r="H19" s="21">
        <f t="shared" si="9"/>
        <v>0</v>
      </c>
      <c r="I19" s="24">
        <f t="shared" si="7"/>
        <v>0</v>
      </c>
      <c r="J19" s="68">
        <f t="shared" si="8"/>
        <v>0</v>
      </c>
      <c r="K19" s="21">
        <f t="shared" si="8"/>
        <v>0</v>
      </c>
      <c r="L19" s="21">
        <f t="shared" si="8"/>
        <v>0</v>
      </c>
      <c r="M19" s="18">
        <f t="shared" si="6"/>
        <v>34.9</v>
      </c>
    </row>
    <row r="20" spans="4:13" x14ac:dyDescent="0.25">
      <c r="D20" s="17" t="s">
        <v>29</v>
      </c>
      <c r="E20" s="18">
        <f t="shared" si="9"/>
        <v>6.3666666666666671</v>
      </c>
      <c r="F20" s="21">
        <f t="shared" si="9"/>
        <v>343.90666666666669</v>
      </c>
      <c r="G20" s="21">
        <f t="shared" si="9"/>
        <v>312.22666666666669</v>
      </c>
      <c r="H20" s="21">
        <f t="shared" si="9"/>
        <v>0</v>
      </c>
      <c r="I20" s="24">
        <f t="shared" si="7"/>
        <v>0</v>
      </c>
      <c r="J20" s="68">
        <f t="shared" si="8"/>
        <v>0</v>
      </c>
      <c r="K20" s="21">
        <f t="shared" si="8"/>
        <v>0</v>
      </c>
      <c r="L20" s="21">
        <f t="shared" si="8"/>
        <v>0</v>
      </c>
      <c r="M20" s="18">
        <f t="shared" si="6"/>
        <v>662.5</v>
      </c>
    </row>
    <row r="23" spans="4:13" ht="15.75" x14ac:dyDescent="0.25">
      <c r="D23" s="9">
        <f>D1-2</f>
        <v>2011</v>
      </c>
      <c r="E23" s="10" t="s">
        <v>13</v>
      </c>
      <c r="F23" s="11" t="s">
        <v>14</v>
      </c>
      <c r="G23" s="11" t="s">
        <v>121</v>
      </c>
      <c r="H23" s="11" t="s">
        <v>16</v>
      </c>
      <c r="I23" s="12" t="s">
        <v>15</v>
      </c>
      <c r="J23" s="11" t="s">
        <v>17</v>
      </c>
      <c r="K23" s="11" t="s">
        <v>21</v>
      </c>
      <c r="L23" s="11" t="s">
        <v>18</v>
      </c>
      <c r="M23" s="10" t="s">
        <v>19</v>
      </c>
    </row>
    <row r="24" spans="4:13" ht="15.75" thickBot="1" x14ac:dyDescent="0.3">
      <c r="D24" s="13" t="s">
        <v>59</v>
      </c>
      <c r="E24" s="14">
        <f>SUM(E25:E30)</f>
        <v>591</v>
      </c>
      <c r="F24" s="15">
        <f t="shared" ref="F24:L24" si="10">SUM(F25:F30)</f>
        <v>599.29999999999995</v>
      </c>
      <c r="G24" s="15">
        <f t="shared" si="10"/>
        <v>551.4</v>
      </c>
      <c r="H24" s="15">
        <f t="shared" si="10"/>
        <v>0</v>
      </c>
      <c r="I24" s="16">
        <f t="shared" si="10"/>
        <v>0</v>
      </c>
      <c r="J24" s="15">
        <f t="shared" si="10"/>
        <v>0</v>
      </c>
      <c r="K24" s="15">
        <f t="shared" si="10"/>
        <v>0</v>
      </c>
      <c r="L24" s="15">
        <f t="shared" si="10"/>
        <v>0</v>
      </c>
      <c r="M24" s="14">
        <f t="shared" ref="M24:M30" si="11">SUM(E24:I24)</f>
        <v>1741.6999999999998</v>
      </c>
    </row>
    <row r="25" spans="4:13" ht="15.75" thickTop="1" x14ac:dyDescent="0.25">
      <c r="D25" s="17" t="s">
        <v>24</v>
      </c>
      <c r="E25" s="255">
        <v>0</v>
      </c>
      <c r="F25" s="256">
        <v>0</v>
      </c>
      <c r="G25" s="256">
        <v>0</v>
      </c>
      <c r="H25" s="256">
        <v>0</v>
      </c>
      <c r="I25" s="22">
        <f t="shared" ref="I25:I30" si="12">SUM(J25:L25)</f>
        <v>0</v>
      </c>
      <c r="J25" s="256">
        <v>0</v>
      </c>
      <c r="K25" s="256">
        <v>0</v>
      </c>
      <c r="L25" s="256">
        <v>0</v>
      </c>
      <c r="M25" s="18">
        <f t="shared" si="11"/>
        <v>0</v>
      </c>
    </row>
    <row r="26" spans="4:13" x14ac:dyDescent="0.25">
      <c r="D26" s="17" t="s">
        <v>25</v>
      </c>
      <c r="E26" s="255">
        <v>0</v>
      </c>
      <c r="F26" s="256">
        <v>0</v>
      </c>
      <c r="G26" s="256">
        <v>0</v>
      </c>
      <c r="H26" s="256">
        <v>0</v>
      </c>
      <c r="I26" s="22">
        <f t="shared" si="12"/>
        <v>0</v>
      </c>
      <c r="J26" s="256">
        <v>0</v>
      </c>
      <c r="K26" s="256">
        <v>0</v>
      </c>
      <c r="L26" s="256">
        <v>0</v>
      </c>
      <c r="M26" s="18">
        <f t="shared" si="11"/>
        <v>0</v>
      </c>
    </row>
    <row r="27" spans="4:13" x14ac:dyDescent="0.25">
      <c r="D27" s="17" t="s">
        <v>26</v>
      </c>
      <c r="E27" s="255">
        <v>1</v>
      </c>
      <c r="F27" s="256">
        <v>0</v>
      </c>
      <c r="G27" s="256">
        <v>0</v>
      </c>
      <c r="H27" s="256">
        <v>0</v>
      </c>
      <c r="I27" s="22">
        <f t="shared" si="12"/>
        <v>0</v>
      </c>
      <c r="J27" s="256">
        <v>0</v>
      </c>
      <c r="K27" s="256">
        <v>0</v>
      </c>
      <c r="L27" s="256">
        <v>0</v>
      </c>
      <c r="M27" s="18">
        <f t="shared" si="11"/>
        <v>1</v>
      </c>
    </row>
    <row r="28" spans="4:13" x14ac:dyDescent="0.25">
      <c r="D28" s="17" t="s">
        <v>27</v>
      </c>
      <c r="E28" s="255">
        <v>582.79999999999995</v>
      </c>
      <c r="F28" s="256">
        <v>240.7</v>
      </c>
      <c r="G28" s="256">
        <v>214.9</v>
      </c>
      <c r="H28" s="256">
        <v>0</v>
      </c>
      <c r="I28" s="22">
        <f t="shared" si="12"/>
        <v>0</v>
      </c>
      <c r="J28" s="256">
        <v>0</v>
      </c>
      <c r="K28" s="256">
        <v>0</v>
      </c>
      <c r="L28" s="256">
        <v>0</v>
      </c>
      <c r="M28" s="18">
        <f t="shared" si="11"/>
        <v>1038.4000000000001</v>
      </c>
    </row>
    <row r="29" spans="4:13" x14ac:dyDescent="0.25">
      <c r="D29" s="17" t="s">
        <v>28</v>
      </c>
      <c r="E29" s="255">
        <v>0</v>
      </c>
      <c r="F29" s="256">
        <v>0</v>
      </c>
      <c r="G29" s="256">
        <v>0</v>
      </c>
      <c r="H29" s="256">
        <v>0</v>
      </c>
      <c r="I29" s="22">
        <f t="shared" si="12"/>
        <v>0</v>
      </c>
      <c r="J29" s="256">
        <v>0</v>
      </c>
      <c r="K29" s="256">
        <v>0</v>
      </c>
      <c r="L29" s="256">
        <v>0</v>
      </c>
      <c r="M29" s="18">
        <f t="shared" si="11"/>
        <v>0</v>
      </c>
    </row>
    <row r="30" spans="4:13" x14ac:dyDescent="0.25">
      <c r="D30" s="17" t="s">
        <v>29</v>
      </c>
      <c r="E30" s="255">
        <v>7.2</v>
      </c>
      <c r="F30" s="256">
        <v>358.6</v>
      </c>
      <c r="G30" s="256">
        <v>336.5</v>
      </c>
      <c r="H30" s="256">
        <v>0</v>
      </c>
      <c r="I30" s="22">
        <f t="shared" si="12"/>
        <v>0</v>
      </c>
      <c r="J30" s="256">
        <v>0</v>
      </c>
      <c r="K30" s="256">
        <v>0</v>
      </c>
      <c r="L30" s="256">
        <v>0</v>
      </c>
      <c r="M30" s="18">
        <f t="shared" si="11"/>
        <v>702.3</v>
      </c>
    </row>
    <row r="33" spans="4:13" ht="15.75" x14ac:dyDescent="0.25">
      <c r="D33" s="9">
        <f>D23-1</f>
        <v>2010</v>
      </c>
      <c r="E33" s="10" t="s">
        <v>13</v>
      </c>
      <c r="F33" s="11" t="s">
        <v>14</v>
      </c>
      <c r="G33" s="11" t="s">
        <v>121</v>
      </c>
      <c r="H33" s="11" t="s">
        <v>16</v>
      </c>
      <c r="I33" s="12" t="s">
        <v>15</v>
      </c>
      <c r="J33" s="11" t="s">
        <v>17</v>
      </c>
      <c r="K33" s="11" t="s">
        <v>21</v>
      </c>
      <c r="L33" s="11" t="s">
        <v>18</v>
      </c>
      <c r="M33" s="10" t="s">
        <v>19</v>
      </c>
    </row>
    <row r="34" spans="4:13" ht="15.75" thickBot="1" x14ac:dyDescent="0.3">
      <c r="D34" s="13" t="s">
        <v>59</v>
      </c>
      <c r="E34" s="14">
        <f>SUM(E35:E40)</f>
        <v>516.9</v>
      </c>
      <c r="F34" s="15">
        <f t="shared" ref="F34:L34" si="13">SUM(F35:F40)</f>
        <v>648.02</v>
      </c>
      <c r="G34" s="15">
        <f t="shared" si="13"/>
        <v>521.78</v>
      </c>
      <c r="H34" s="15">
        <f t="shared" si="13"/>
        <v>0</v>
      </c>
      <c r="I34" s="16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4">
        <f t="shared" ref="M34:M40" si="14">SUM(E34:I34)</f>
        <v>1686.7</v>
      </c>
    </row>
    <row r="35" spans="4:13" ht="15.75" thickTop="1" x14ac:dyDescent="0.25">
      <c r="D35" s="17" t="s">
        <v>24</v>
      </c>
      <c r="E35" s="255">
        <v>0</v>
      </c>
      <c r="F35" s="256">
        <v>0</v>
      </c>
      <c r="G35" s="256">
        <v>0</v>
      </c>
      <c r="H35" s="256">
        <v>0</v>
      </c>
      <c r="I35" s="22">
        <f t="shared" ref="I35:I40" si="15">SUM(J35:L35)</f>
        <v>0</v>
      </c>
      <c r="J35" s="256">
        <v>0</v>
      </c>
      <c r="K35" s="256">
        <v>0</v>
      </c>
      <c r="L35" s="256">
        <v>0</v>
      </c>
      <c r="M35" s="18">
        <f t="shared" si="14"/>
        <v>0</v>
      </c>
    </row>
    <row r="36" spans="4:13" x14ac:dyDescent="0.25">
      <c r="D36" s="17" t="s">
        <v>25</v>
      </c>
      <c r="E36" s="255">
        <v>0</v>
      </c>
      <c r="F36" s="256">
        <v>0</v>
      </c>
      <c r="G36" s="256">
        <v>0</v>
      </c>
      <c r="H36" s="256">
        <v>0</v>
      </c>
      <c r="I36" s="22">
        <f t="shared" si="15"/>
        <v>0</v>
      </c>
      <c r="J36" s="256">
        <v>0</v>
      </c>
      <c r="K36" s="256">
        <v>0</v>
      </c>
      <c r="L36" s="256">
        <v>0</v>
      </c>
      <c r="M36" s="18">
        <f t="shared" si="14"/>
        <v>0</v>
      </c>
    </row>
    <row r="37" spans="4:13" x14ac:dyDescent="0.25">
      <c r="D37" s="17" t="s">
        <v>26</v>
      </c>
      <c r="E37" s="255">
        <v>0</v>
      </c>
      <c r="F37" s="256">
        <v>0</v>
      </c>
      <c r="G37" s="256">
        <v>0</v>
      </c>
      <c r="H37" s="256">
        <v>0</v>
      </c>
      <c r="I37" s="22">
        <f t="shared" si="15"/>
        <v>0</v>
      </c>
      <c r="J37" s="256">
        <v>0</v>
      </c>
      <c r="K37" s="256">
        <v>0</v>
      </c>
      <c r="L37" s="256">
        <v>0</v>
      </c>
      <c r="M37" s="18">
        <f t="shared" si="14"/>
        <v>0</v>
      </c>
    </row>
    <row r="38" spans="4:13" x14ac:dyDescent="0.25">
      <c r="D38" s="17" t="s">
        <v>27</v>
      </c>
      <c r="E38" s="255">
        <v>457.7</v>
      </c>
      <c r="F38" s="256">
        <v>315.8</v>
      </c>
      <c r="G38" s="256">
        <v>205.8</v>
      </c>
      <c r="H38" s="256">
        <v>0</v>
      </c>
      <c r="I38" s="22">
        <f t="shared" si="15"/>
        <v>0</v>
      </c>
      <c r="J38" s="256">
        <v>0</v>
      </c>
      <c r="K38" s="256">
        <v>0</v>
      </c>
      <c r="L38" s="256">
        <v>0</v>
      </c>
      <c r="M38" s="18">
        <f t="shared" si="14"/>
        <v>979.3</v>
      </c>
    </row>
    <row r="39" spans="4:13" x14ac:dyDescent="0.25">
      <c r="D39" s="17" t="s">
        <v>28</v>
      </c>
      <c r="E39" s="255">
        <v>52.5</v>
      </c>
      <c r="F39" s="256">
        <v>0</v>
      </c>
      <c r="G39" s="256">
        <v>0</v>
      </c>
      <c r="H39" s="256">
        <v>0</v>
      </c>
      <c r="I39" s="22">
        <f t="shared" si="15"/>
        <v>0</v>
      </c>
      <c r="J39" s="256">
        <v>0</v>
      </c>
      <c r="K39" s="256">
        <v>0</v>
      </c>
      <c r="L39" s="256">
        <v>0</v>
      </c>
      <c r="M39" s="18">
        <f t="shared" si="14"/>
        <v>52.5</v>
      </c>
    </row>
    <row r="40" spans="4:13" x14ac:dyDescent="0.25">
      <c r="D40" s="17" t="s">
        <v>29</v>
      </c>
      <c r="E40" s="255">
        <v>6.7</v>
      </c>
      <c r="F40" s="256">
        <f>258.1+74.12</f>
        <v>332.22</v>
      </c>
      <c r="G40" s="256">
        <f>204.8+111.18</f>
        <v>315.98</v>
      </c>
      <c r="H40" s="256">
        <v>0</v>
      </c>
      <c r="I40" s="22">
        <f t="shared" si="15"/>
        <v>0</v>
      </c>
      <c r="J40" s="256">
        <v>0</v>
      </c>
      <c r="K40" s="256">
        <v>0</v>
      </c>
      <c r="L40" s="256">
        <v>0</v>
      </c>
      <c r="M40" s="18">
        <f t="shared" si="14"/>
        <v>654.90000000000009</v>
      </c>
    </row>
    <row r="43" spans="4:13" ht="15.75" x14ac:dyDescent="0.25">
      <c r="D43" s="9">
        <f>D33-1</f>
        <v>2009</v>
      </c>
      <c r="E43" s="10" t="s">
        <v>13</v>
      </c>
      <c r="F43" s="11" t="s">
        <v>14</v>
      </c>
      <c r="G43" s="11" t="s">
        <v>20</v>
      </c>
      <c r="H43" s="11" t="s">
        <v>16</v>
      </c>
      <c r="I43" s="12" t="s">
        <v>15</v>
      </c>
      <c r="J43" s="11" t="s">
        <v>17</v>
      </c>
      <c r="K43" s="11" t="s">
        <v>21</v>
      </c>
      <c r="L43" s="11" t="s">
        <v>18</v>
      </c>
      <c r="M43" s="10" t="s">
        <v>19</v>
      </c>
    </row>
    <row r="44" spans="4:13" ht="15.75" thickBot="1" x14ac:dyDescent="0.3">
      <c r="D44" s="13" t="s">
        <v>59</v>
      </c>
      <c r="E44" s="14">
        <f>SUM(E45:E50)</f>
        <v>490.7</v>
      </c>
      <c r="F44" s="15">
        <f t="shared" ref="F44:L44" si="16">SUM(F45:F50)</f>
        <v>620.09999999999991</v>
      </c>
      <c r="G44" s="15">
        <f t="shared" si="16"/>
        <v>511.2</v>
      </c>
      <c r="H44" s="15">
        <f t="shared" si="16"/>
        <v>0</v>
      </c>
      <c r="I44" s="16">
        <f t="shared" si="16"/>
        <v>0</v>
      </c>
      <c r="J44" s="15">
        <f t="shared" si="16"/>
        <v>0</v>
      </c>
      <c r="K44" s="15">
        <f t="shared" si="16"/>
        <v>0</v>
      </c>
      <c r="L44" s="15">
        <f t="shared" si="16"/>
        <v>0</v>
      </c>
      <c r="M44" s="14">
        <f t="shared" ref="M44:M50" si="17">SUM(E44:I44)</f>
        <v>1622</v>
      </c>
    </row>
    <row r="45" spans="4:13" ht="15.75" thickTop="1" x14ac:dyDescent="0.25">
      <c r="D45" s="17" t="s">
        <v>24</v>
      </c>
      <c r="E45" s="255">
        <v>0</v>
      </c>
      <c r="F45" s="256">
        <v>0</v>
      </c>
      <c r="G45" s="256">
        <v>0</v>
      </c>
      <c r="H45" s="256">
        <v>0</v>
      </c>
      <c r="I45" s="22">
        <f t="shared" ref="I45:I50" si="18">SUM(J45:L45)</f>
        <v>0</v>
      </c>
      <c r="J45" s="256">
        <v>0</v>
      </c>
      <c r="K45" s="256">
        <v>0</v>
      </c>
      <c r="L45" s="256">
        <v>0</v>
      </c>
      <c r="M45" s="18">
        <f t="shared" si="17"/>
        <v>0</v>
      </c>
    </row>
    <row r="46" spans="4:13" x14ac:dyDescent="0.25">
      <c r="D46" s="17" t="s">
        <v>25</v>
      </c>
      <c r="E46" s="255">
        <v>0</v>
      </c>
      <c r="F46" s="256">
        <v>0</v>
      </c>
      <c r="G46" s="256">
        <v>0</v>
      </c>
      <c r="H46" s="256">
        <v>0</v>
      </c>
      <c r="I46" s="22">
        <f t="shared" si="18"/>
        <v>0</v>
      </c>
      <c r="J46" s="256">
        <v>0</v>
      </c>
      <c r="K46" s="256">
        <v>0</v>
      </c>
      <c r="L46" s="256">
        <v>0</v>
      </c>
      <c r="M46" s="18">
        <f t="shared" si="17"/>
        <v>0</v>
      </c>
    </row>
    <row r="47" spans="4:13" x14ac:dyDescent="0.25">
      <c r="D47" s="17" t="s">
        <v>26</v>
      </c>
      <c r="E47" s="255">
        <v>0</v>
      </c>
      <c r="F47" s="256">
        <v>0</v>
      </c>
      <c r="G47" s="256">
        <v>0</v>
      </c>
      <c r="H47" s="256">
        <v>0</v>
      </c>
      <c r="I47" s="22">
        <f t="shared" si="18"/>
        <v>0</v>
      </c>
      <c r="J47" s="256">
        <v>0</v>
      </c>
      <c r="K47" s="256">
        <v>0</v>
      </c>
      <c r="L47" s="256">
        <v>0</v>
      </c>
      <c r="M47" s="18">
        <f t="shared" si="17"/>
        <v>0</v>
      </c>
    </row>
    <row r="48" spans="4:13" x14ac:dyDescent="0.25">
      <c r="D48" s="17" t="s">
        <v>27</v>
      </c>
      <c r="E48" s="255">
        <v>433.3</v>
      </c>
      <c r="F48" s="256">
        <v>279.2</v>
      </c>
      <c r="G48" s="256">
        <v>227</v>
      </c>
      <c r="H48" s="256">
        <v>0</v>
      </c>
      <c r="I48" s="22">
        <f t="shared" si="18"/>
        <v>0</v>
      </c>
      <c r="J48" s="256">
        <v>0</v>
      </c>
      <c r="K48" s="256">
        <v>0</v>
      </c>
      <c r="L48" s="256">
        <v>0</v>
      </c>
      <c r="M48" s="18">
        <f t="shared" si="17"/>
        <v>939.5</v>
      </c>
    </row>
    <row r="49" spans="4:26" x14ac:dyDescent="0.25">
      <c r="D49" s="17" t="s">
        <v>28</v>
      </c>
      <c r="E49" s="255">
        <v>52.2</v>
      </c>
      <c r="F49" s="256">
        <v>0</v>
      </c>
      <c r="G49" s="256">
        <v>0</v>
      </c>
      <c r="H49" s="256">
        <v>0</v>
      </c>
      <c r="I49" s="22">
        <f t="shared" si="18"/>
        <v>0</v>
      </c>
      <c r="J49" s="256">
        <v>0</v>
      </c>
      <c r="K49" s="256">
        <v>0</v>
      </c>
      <c r="L49" s="256">
        <v>0</v>
      </c>
      <c r="M49" s="18">
        <f t="shared" si="17"/>
        <v>52.2</v>
      </c>
    </row>
    <row r="50" spans="4:26" x14ac:dyDescent="0.25">
      <c r="D50" s="17" t="s">
        <v>29</v>
      </c>
      <c r="E50" s="255">
        <v>5.2</v>
      </c>
      <c r="F50" s="256">
        <v>340.9</v>
      </c>
      <c r="G50" s="256">
        <v>284.2</v>
      </c>
      <c r="H50" s="256">
        <v>0</v>
      </c>
      <c r="I50" s="22">
        <f t="shared" si="18"/>
        <v>0</v>
      </c>
      <c r="J50" s="256">
        <v>0</v>
      </c>
      <c r="K50" s="256">
        <v>0</v>
      </c>
      <c r="L50" s="256">
        <v>0</v>
      </c>
      <c r="M50" s="18">
        <f t="shared" si="17"/>
        <v>630.29999999999995</v>
      </c>
    </row>
    <row r="54" spans="4:26" ht="15.75" thickBot="1" x14ac:dyDescent="0.3">
      <c r="D54" s="241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</row>
    <row r="56" spans="4:26" ht="15.75" x14ac:dyDescent="0.25">
      <c r="D56" s="42" t="s">
        <v>46</v>
      </c>
      <c r="E56" s="43" t="s">
        <v>13</v>
      </c>
      <c r="F56" s="44" t="s">
        <v>14</v>
      </c>
      <c r="G56" s="44" t="s">
        <v>121</v>
      </c>
      <c r="H56" s="44" t="s">
        <v>16</v>
      </c>
      <c r="I56" s="45" t="s">
        <v>15</v>
      </c>
    </row>
    <row r="57" spans="4:26" x14ac:dyDescent="0.25">
      <c r="D57" s="42">
        <f>D58-1</f>
        <v>2012</v>
      </c>
      <c r="E57" s="257">
        <v>12854767</v>
      </c>
      <c r="F57" s="258">
        <v>14954033</v>
      </c>
      <c r="G57" s="258">
        <v>11582100</v>
      </c>
      <c r="H57" s="258">
        <v>0</v>
      </c>
      <c r="I57" s="259">
        <v>0</v>
      </c>
    </row>
    <row r="58" spans="4:26" x14ac:dyDescent="0.25">
      <c r="D58" s="42">
        <f>D1</f>
        <v>2013</v>
      </c>
      <c r="E58" s="46">
        <f>E4</f>
        <v>14733733.333333334</v>
      </c>
      <c r="F58" s="47">
        <f>F4</f>
        <v>14678000</v>
      </c>
      <c r="G58" s="47">
        <f>G4</f>
        <v>12289733.333333334</v>
      </c>
      <c r="H58" s="47">
        <f>H4</f>
        <v>0</v>
      </c>
      <c r="I58" s="48">
        <f>I4</f>
        <v>0</v>
      </c>
    </row>
  </sheetData>
  <sheetProtection password="F489" sheet="1" objects="1" scenarios="1" selectLockedCells="1"/>
  <mergeCells count="2">
    <mergeCell ref="V3:V4"/>
    <mergeCell ref="V7:Z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&amp;L&amp;F: &amp;A&amp;C&amp;D&amp;RSide &amp;P av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36"/>
  <sheetViews>
    <sheetView zoomScaleNormal="100" workbookViewId="0">
      <selection activeCell="B1" sqref="B1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5" width="10.28515625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64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66" t="s">
        <v>22</v>
      </c>
      <c r="E4" s="4">
        <f>E8*$S5</f>
        <v>6833.3333333333339</v>
      </c>
      <c r="F4" s="5">
        <f>F8*$S5</f>
        <v>148966.66666666669</v>
      </c>
      <c r="G4" s="5">
        <f>G8*$S5</f>
        <v>195433.33333333331</v>
      </c>
      <c r="H4" s="5">
        <f>H8*$S5</f>
        <v>0</v>
      </c>
      <c r="I4" s="5">
        <f>SUM(J4:L4)</f>
        <v>157166.66666666669</v>
      </c>
      <c r="J4" s="74">
        <f>J8*$S5</f>
        <v>157166.66666666669</v>
      </c>
      <c r="K4" s="5">
        <f>K8*$S5</f>
        <v>0</v>
      </c>
      <c r="L4" s="5">
        <f>L8*$S5</f>
        <v>0</v>
      </c>
      <c r="M4" s="31">
        <f>SUM(E4:I4)</f>
        <v>508400.00000000006</v>
      </c>
      <c r="P4" s="23"/>
      <c r="Q4" s="23"/>
      <c r="R4" s="263">
        <v>1</v>
      </c>
      <c r="S4" s="254">
        <v>1</v>
      </c>
      <c r="V4" s="297"/>
      <c r="W4" s="85">
        <f>'0-Total'!N7</f>
        <v>508400</v>
      </c>
      <c r="X4" s="85">
        <f>M4</f>
        <v>508400.00000000006</v>
      </c>
      <c r="Y4" s="86">
        <f>W4-X4</f>
        <v>0</v>
      </c>
      <c r="Z4" s="87">
        <f>IFERROR(Y4/W4,"-")</f>
        <v>0</v>
      </c>
    </row>
    <row r="5" spans="4:26" x14ac:dyDescent="0.25">
      <c r="P5" s="88">
        <f>D1</f>
        <v>2013</v>
      </c>
      <c r="Q5" s="250">
        <v>4100</v>
      </c>
      <c r="R5" s="251">
        <v>4100</v>
      </c>
      <c r="S5" s="252">
        <v>4100</v>
      </c>
    </row>
    <row r="6" spans="4:26" ht="15.75" x14ac:dyDescent="0.25">
      <c r="V6" s="1" t="s">
        <v>39</v>
      </c>
    </row>
    <row r="7" spans="4:26" ht="15.75" x14ac:dyDescent="0.25">
      <c r="D7" s="9" t="s">
        <v>62</v>
      </c>
      <c r="E7" s="10" t="s">
        <v>13</v>
      </c>
      <c r="F7" s="11" t="s">
        <v>14</v>
      </c>
      <c r="G7" s="11" t="s">
        <v>121</v>
      </c>
      <c r="H7" s="11" t="s">
        <v>16</v>
      </c>
      <c r="I7" s="12" t="s">
        <v>15</v>
      </c>
      <c r="J7" s="11" t="s">
        <v>17</v>
      </c>
      <c r="K7" s="11" t="s">
        <v>21</v>
      </c>
      <c r="L7" s="11" t="s">
        <v>18</v>
      </c>
      <c r="M7" s="10" t="s">
        <v>19</v>
      </c>
      <c r="V7" s="298"/>
      <c r="W7" s="299"/>
      <c r="X7" s="299"/>
      <c r="Y7" s="299"/>
      <c r="Z7" s="300"/>
    </row>
    <row r="8" spans="4:26" ht="15.75" thickBot="1" x14ac:dyDescent="0.3">
      <c r="D8" s="75" t="s">
        <v>63</v>
      </c>
      <c r="E8" s="70">
        <f t="shared" ref="E8:M8" si="0">SUM(E9:E11)/3</f>
        <v>1.6666666666666667</v>
      </c>
      <c r="F8" s="71">
        <f t="shared" si="0"/>
        <v>36.333333333333336</v>
      </c>
      <c r="G8" s="71">
        <f t="shared" si="0"/>
        <v>47.666666666666664</v>
      </c>
      <c r="H8" s="71">
        <f t="shared" si="0"/>
        <v>0</v>
      </c>
      <c r="I8" s="71">
        <f t="shared" si="0"/>
        <v>38.333333333333336</v>
      </c>
      <c r="J8" s="72">
        <f t="shared" si="0"/>
        <v>38.333333333333336</v>
      </c>
      <c r="K8" s="71">
        <f t="shared" si="0"/>
        <v>0</v>
      </c>
      <c r="L8" s="71">
        <f t="shared" si="0"/>
        <v>0</v>
      </c>
      <c r="M8" s="70">
        <f t="shared" si="0"/>
        <v>124</v>
      </c>
      <c r="V8" s="301"/>
      <c r="W8" s="302"/>
      <c r="X8" s="302"/>
      <c r="Y8" s="302"/>
      <c r="Z8" s="303"/>
    </row>
    <row r="9" spans="4:26" ht="15.75" thickTop="1" x14ac:dyDescent="0.25">
      <c r="D9" s="13">
        <f>D1-2</f>
        <v>2011</v>
      </c>
      <c r="E9" s="260">
        <v>1</v>
      </c>
      <c r="F9" s="261">
        <v>36</v>
      </c>
      <c r="G9" s="261">
        <v>23</v>
      </c>
      <c r="H9" s="248">
        <v>0</v>
      </c>
      <c r="I9" s="24">
        <f>SUM(J9:L9)</f>
        <v>48</v>
      </c>
      <c r="J9" s="262">
        <v>48</v>
      </c>
      <c r="K9" s="261">
        <f>(K25+K35+K45)/3</f>
        <v>0</v>
      </c>
      <c r="L9" s="248">
        <v>0</v>
      </c>
      <c r="M9" s="73">
        <f>SUM(E9:I9)</f>
        <v>108</v>
      </c>
      <c r="V9" s="301"/>
      <c r="W9" s="302"/>
      <c r="X9" s="302"/>
      <c r="Y9" s="302"/>
      <c r="Z9" s="303"/>
    </row>
    <row r="10" spans="4:26" x14ac:dyDescent="0.25">
      <c r="D10" s="13">
        <f>D9-1</f>
        <v>2010</v>
      </c>
      <c r="E10" s="260">
        <v>4</v>
      </c>
      <c r="F10" s="248">
        <v>40</v>
      </c>
      <c r="G10" s="248">
        <v>54</v>
      </c>
      <c r="H10" s="248">
        <v>0</v>
      </c>
      <c r="I10" s="24">
        <f>SUM(J10:L10)</f>
        <v>39</v>
      </c>
      <c r="J10" s="247">
        <v>39</v>
      </c>
      <c r="K10" s="248">
        <v>0</v>
      </c>
      <c r="L10" s="248">
        <v>0</v>
      </c>
      <c r="M10" s="73">
        <f>SUM(E10:I10)</f>
        <v>137</v>
      </c>
      <c r="V10" s="304"/>
      <c r="W10" s="305"/>
      <c r="X10" s="305"/>
      <c r="Y10" s="305"/>
      <c r="Z10" s="306"/>
    </row>
    <row r="11" spans="4:26" x14ac:dyDescent="0.25">
      <c r="D11" s="13">
        <f>D10-1</f>
        <v>2009</v>
      </c>
      <c r="E11" s="260">
        <v>0</v>
      </c>
      <c r="F11" s="248">
        <v>33</v>
      </c>
      <c r="G11" s="248">
        <v>66</v>
      </c>
      <c r="H11" s="248">
        <v>0</v>
      </c>
      <c r="I11" s="24">
        <f>SUM(J11:L11)</f>
        <v>28</v>
      </c>
      <c r="J11" s="247">
        <v>28</v>
      </c>
      <c r="K11" s="248">
        <v>0</v>
      </c>
      <c r="L11" s="248">
        <v>0</v>
      </c>
      <c r="M11" s="73">
        <f>SUM(E11:I11)</f>
        <v>127</v>
      </c>
    </row>
    <row r="32" spans="4:26" ht="15.75" thickBot="1" x14ac:dyDescent="0.3">
      <c r="D32" s="241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4" spans="4:9" ht="15.75" x14ac:dyDescent="0.25">
      <c r="D34" s="42"/>
      <c r="E34" s="43" t="s">
        <v>13</v>
      </c>
      <c r="F34" s="44" t="s">
        <v>14</v>
      </c>
      <c r="G34" s="44" t="s">
        <v>121</v>
      </c>
      <c r="H34" s="44" t="s">
        <v>16</v>
      </c>
      <c r="I34" s="45" t="s">
        <v>15</v>
      </c>
    </row>
    <row r="35" spans="4:9" x14ac:dyDescent="0.25">
      <c r="D35" s="42">
        <f>D36-1</f>
        <v>2012</v>
      </c>
      <c r="E35" s="257">
        <v>5467</v>
      </c>
      <c r="F35" s="258">
        <v>131200</v>
      </c>
      <c r="G35" s="258">
        <f>237800+1367</f>
        <v>239167</v>
      </c>
      <c r="H35" s="258">
        <v>0</v>
      </c>
      <c r="I35" s="259">
        <v>116167</v>
      </c>
    </row>
    <row r="36" spans="4:9" x14ac:dyDescent="0.25">
      <c r="D36" s="42">
        <f>D1</f>
        <v>2013</v>
      </c>
      <c r="E36" s="46">
        <f>E4</f>
        <v>6833.3333333333339</v>
      </c>
      <c r="F36" s="47">
        <f>F4</f>
        <v>148966.66666666669</v>
      </c>
      <c r="G36" s="47">
        <f>G4</f>
        <v>195433.33333333331</v>
      </c>
      <c r="H36" s="47">
        <f>H4</f>
        <v>0</v>
      </c>
      <c r="I36" s="48">
        <f>I4</f>
        <v>157166.66666666669</v>
      </c>
    </row>
  </sheetData>
  <sheetProtection password="F489" sheet="1" objects="1" scenarios="1" selectLockedCells="1"/>
  <mergeCells count="2">
    <mergeCell ref="V3:V4"/>
    <mergeCell ref="V7:Z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&amp;L&amp;F: &amp;A&amp;C&amp;D&amp;RSide &amp;P av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36"/>
  <sheetViews>
    <sheetView zoomScaleNormal="100" workbookViewId="0">
      <selection activeCell="B1" sqref="B1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5" width="10.28515625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65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66" t="s">
        <v>22</v>
      </c>
      <c r="E4" s="4">
        <f>E8*$S5</f>
        <v>661333.33333333326</v>
      </c>
      <c r="F4" s="5">
        <f>F8*$S5</f>
        <v>826666.66666666674</v>
      </c>
      <c r="G4" s="5">
        <f>G8*$S5</f>
        <v>1984000</v>
      </c>
      <c r="H4" s="5">
        <f>H8*$S5</f>
        <v>0</v>
      </c>
      <c r="I4" s="5">
        <f>SUM(J4:L4)</f>
        <v>0</v>
      </c>
      <c r="J4" s="74">
        <f>J8*$S5</f>
        <v>0</v>
      </c>
      <c r="K4" s="5">
        <f>K8*$S5</f>
        <v>0</v>
      </c>
      <c r="L4" s="5">
        <f>L8*$S5</f>
        <v>0</v>
      </c>
      <c r="M4" s="31">
        <f>SUM(E4:I4)</f>
        <v>3472000</v>
      </c>
      <c r="P4" s="23"/>
      <c r="Q4" s="23"/>
      <c r="R4" s="264">
        <f>R5/Q5</f>
        <v>0.73372781065088755</v>
      </c>
      <c r="S4" s="254">
        <v>1</v>
      </c>
      <c r="V4" s="297"/>
      <c r="W4" s="85">
        <f>'0-Total'!N11</f>
        <v>3468000</v>
      </c>
      <c r="X4" s="85">
        <f>M4</f>
        <v>3472000</v>
      </c>
      <c r="Y4" s="86">
        <f>W4-X4</f>
        <v>-4000</v>
      </c>
      <c r="Z4" s="87">
        <f>IFERROR(Y4/W4,"-")</f>
        <v>-1.1534025374855825E-3</v>
      </c>
    </row>
    <row r="5" spans="4:26" x14ac:dyDescent="0.25">
      <c r="P5" s="88">
        <f>D1</f>
        <v>2013</v>
      </c>
      <c r="Q5" s="250">
        <v>338000</v>
      </c>
      <c r="R5" s="251">
        <v>248000</v>
      </c>
      <c r="S5" s="252">
        <v>248000</v>
      </c>
    </row>
    <row r="6" spans="4:26" ht="15.75" x14ac:dyDescent="0.25">
      <c r="V6" s="1" t="s">
        <v>39</v>
      </c>
    </row>
    <row r="7" spans="4:26" ht="15.75" x14ac:dyDescent="0.25">
      <c r="D7" s="9" t="s">
        <v>62</v>
      </c>
      <c r="E7" s="10" t="s">
        <v>13</v>
      </c>
      <c r="F7" s="11" t="s">
        <v>14</v>
      </c>
      <c r="G7" s="11" t="s">
        <v>121</v>
      </c>
      <c r="H7" s="11" t="s">
        <v>16</v>
      </c>
      <c r="I7" s="12" t="s">
        <v>15</v>
      </c>
      <c r="J7" s="11" t="s">
        <v>17</v>
      </c>
      <c r="K7" s="11" t="s">
        <v>21</v>
      </c>
      <c r="L7" s="11" t="s">
        <v>18</v>
      </c>
      <c r="M7" s="10" t="s">
        <v>19</v>
      </c>
      <c r="V7" s="298"/>
      <c r="W7" s="299"/>
      <c r="X7" s="299"/>
      <c r="Y7" s="299"/>
      <c r="Z7" s="300"/>
    </row>
    <row r="8" spans="4:26" ht="15.75" thickBot="1" x14ac:dyDescent="0.3">
      <c r="D8" s="75" t="s">
        <v>63</v>
      </c>
      <c r="E8" s="70">
        <f t="shared" ref="E8:M8" si="0">SUM(E9:E11)/3</f>
        <v>2.6666666666666665</v>
      </c>
      <c r="F8" s="71">
        <f t="shared" si="0"/>
        <v>3.3333333333333335</v>
      </c>
      <c r="G8" s="71">
        <f t="shared" si="0"/>
        <v>8</v>
      </c>
      <c r="H8" s="71">
        <f t="shared" si="0"/>
        <v>0</v>
      </c>
      <c r="I8" s="71">
        <f t="shared" si="0"/>
        <v>0</v>
      </c>
      <c r="J8" s="72">
        <f t="shared" si="0"/>
        <v>0</v>
      </c>
      <c r="K8" s="71">
        <f t="shared" si="0"/>
        <v>0</v>
      </c>
      <c r="L8" s="71">
        <f t="shared" si="0"/>
        <v>0</v>
      </c>
      <c r="M8" s="70">
        <f t="shared" si="0"/>
        <v>14</v>
      </c>
      <c r="V8" s="301"/>
      <c r="W8" s="302"/>
      <c r="X8" s="302"/>
      <c r="Y8" s="302"/>
      <c r="Z8" s="303"/>
    </row>
    <row r="9" spans="4:26" ht="15.75" thickTop="1" x14ac:dyDescent="0.25">
      <c r="D9" s="13">
        <f>D1-2</f>
        <v>2011</v>
      </c>
      <c r="E9" s="260">
        <v>2</v>
      </c>
      <c r="F9" s="261">
        <v>5</v>
      </c>
      <c r="G9" s="261">
        <f>7+0</f>
        <v>7</v>
      </c>
      <c r="H9" s="248">
        <v>0</v>
      </c>
      <c r="I9" s="24">
        <f>SUM(J9:L9)</f>
        <v>0</v>
      </c>
      <c r="J9" s="262">
        <f>(J25+J35+J45)/3</f>
        <v>0</v>
      </c>
      <c r="K9" s="261">
        <f>(K25+K35+K45)/3</f>
        <v>0</v>
      </c>
      <c r="L9" s="248">
        <v>0</v>
      </c>
      <c r="M9" s="73">
        <f>SUM(E9:I9)</f>
        <v>14</v>
      </c>
      <c r="V9" s="301"/>
      <c r="W9" s="302"/>
      <c r="X9" s="302"/>
      <c r="Y9" s="302"/>
      <c r="Z9" s="303"/>
    </row>
    <row r="10" spans="4:26" x14ac:dyDescent="0.25">
      <c r="D10" s="13">
        <f>D9-1</f>
        <v>2010</v>
      </c>
      <c r="E10" s="260">
        <v>2</v>
      </c>
      <c r="F10" s="248">
        <v>4</v>
      </c>
      <c r="G10" s="248">
        <f>6+2</f>
        <v>8</v>
      </c>
      <c r="H10" s="248">
        <v>0</v>
      </c>
      <c r="I10" s="24">
        <f>SUM(J10:L10)</f>
        <v>0</v>
      </c>
      <c r="J10" s="247">
        <v>0</v>
      </c>
      <c r="K10" s="248">
        <v>0</v>
      </c>
      <c r="L10" s="248">
        <v>0</v>
      </c>
      <c r="M10" s="73">
        <f>SUM(E10:I10)</f>
        <v>14</v>
      </c>
      <c r="V10" s="304"/>
      <c r="W10" s="305"/>
      <c r="X10" s="305"/>
      <c r="Y10" s="305"/>
      <c r="Z10" s="306"/>
    </row>
    <row r="11" spans="4:26" x14ac:dyDescent="0.25">
      <c r="D11" s="13">
        <f>D10-1</f>
        <v>2009</v>
      </c>
      <c r="E11" s="260">
        <v>4</v>
      </c>
      <c r="F11" s="248">
        <v>1</v>
      </c>
      <c r="G11" s="248">
        <f>9+0</f>
        <v>9</v>
      </c>
      <c r="H11" s="248">
        <v>0</v>
      </c>
      <c r="I11" s="24">
        <f>SUM(J11:L11)</f>
        <v>0</v>
      </c>
      <c r="J11" s="247">
        <v>0</v>
      </c>
      <c r="K11" s="248">
        <v>0</v>
      </c>
      <c r="L11" s="248">
        <v>0</v>
      </c>
      <c r="M11" s="73">
        <f>SUM(E11:I11)</f>
        <v>14</v>
      </c>
    </row>
    <row r="32" spans="4:26" ht="15.75" thickBot="1" x14ac:dyDescent="0.3">
      <c r="D32" s="241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4" spans="4:9" ht="15.75" x14ac:dyDescent="0.25">
      <c r="D34" s="42"/>
      <c r="E34" s="43" t="s">
        <v>13</v>
      </c>
      <c r="F34" s="44" t="s">
        <v>14</v>
      </c>
      <c r="G34" s="44" t="s">
        <v>121</v>
      </c>
      <c r="H34" s="44" t="s">
        <v>16</v>
      </c>
      <c r="I34" s="45" t="s">
        <v>15</v>
      </c>
    </row>
    <row r="35" spans="4:9" x14ac:dyDescent="0.25">
      <c r="D35" s="42">
        <f>D36-1</f>
        <v>2012</v>
      </c>
      <c r="E35" s="257">
        <v>662005</v>
      </c>
      <c r="F35" s="258">
        <v>827507</v>
      </c>
      <c r="G35" s="258">
        <f>1572263+248252</f>
        <v>1820515</v>
      </c>
      <c r="H35" s="258">
        <v>0</v>
      </c>
      <c r="I35" s="259">
        <v>0</v>
      </c>
    </row>
    <row r="36" spans="4:9" x14ac:dyDescent="0.25">
      <c r="D36" s="42">
        <f>D1</f>
        <v>2013</v>
      </c>
      <c r="E36" s="46">
        <f>E4</f>
        <v>661333.33333333326</v>
      </c>
      <c r="F36" s="47">
        <f>F4</f>
        <v>826666.66666666674</v>
      </c>
      <c r="G36" s="47">
        <f>G4</f>
        <v>1984000</v>
      </c>
      <c r="H36" s="47">
        <f>H4</f>
        <v>0</v>
      </c>
      <c r="I36" s="48">
        <f>I4</f>
        <v>0</v>
      </c>
    </row>
  </sheetData>
  <sheetProtection password="F489" sheet="1" objects="1" scenarios="1" selectLockedCells="1"/>
  <mergeCells count="2">
    <mergeCell ref="V3:V4"/>
    <mergeCell ref="V7:Z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&amp;L&amp;F: &amp;A&amp;C&amp;D&amp;RSide &amp;P av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36"/>
  <sheetViews>
    <sheetView zoomScaleNormal="100" workbookViewId="0">
      <selection activeCell="B1" sqref="B1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4" width="10.28515625" bestFit="1" customWidth="1"/>
    <col min="25" max="25" width="11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66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66" t="s">
        <v>22</v>
      </c>
      <c r="E4" s="4">
        <f>E8*$S5</f>
        <v>11952000</v>
      </c>
      <c r="F4" s="5">
        <f>F8*$S5</f>
        <v>9711000</v>
      </c>
      <c r="G4" s="5">
        <f>G8*$S5</f>
        <v>17181000</v>
      </c>
      <c r="H4" s="5">
        <f>H8*$S5</f>
        <v>747000</v>
      </c>
      <c r="I4" s="5">
        <f>SUM(J4:L4)</f>
        <v>0</v>
      </c>
      <c r="J4" s="74">
        <f>J8*$S5</f>
        <v>0</v>
      </c>
      <c r="K4" s="5">
        <f>K8*$S5</f>
        <v>0</v>
      </c>
      <c r="L4" s="5">
        <f>L8*$S5</f>
        <v>0</v>
      </c>
      <c r="M4" s="31">
        <f>SUM(E4:I4)</f>
        <v>39591000</v>
      </c>
      <c r="P4" s="23"/>
      <c r="Q4" s="23"/>
      <c r="R4" s="264"/>
      <c r="S4" s="254">
        <v>1</v>
      </c>
      <c r="V4" s="297"/>
      <c r="W4" s="85">
        <f>'0-Total'!N12</f>
        <v>39141000</v>
      </c>
      <c r="X4" s="85">
        <f>M4</f>
        <v>39591000</v>
      </c>
      <c r="Y4" s="86">
        <f>W4-X4</f>
        <v>-450000</v>
      </c>
      <c r="Z4" s="87">
        <f>IFERROR(Y4/W4,"-")</f>
        <v>-1.1496895838123706E-2</v>
      </c>
    </row>
    <row r="5" spans="4:26" x14ac:dyDescent="0.25">
      <c r="P5" s="88">
        <f>D1</f>
        <v>2013</v>
      </c>
      <c r="Q5" s="250"/>
      <c r="R5" s="251">
        <v>747000</v>
      </c>
      <c r="S5" s="252">
        <v>747000</v>
      </c>
    </row>
    <row r="6" spans="4:26" ht="15.75" x14ac:dyDescent="0.25">
      <c r="V6" s="1" t="s">
        <v>39</v>
      </c>
    </row>
    <row r="7" spans="4:26" ht="15.75" x14ac:dyDescent="0.25">
      <c r="D7" s="9" t="s">
        <v>62</v>
      </c>
      <c r="E7" s="89" t="s">
        <v>13</v>
      </c>
      <c r="F7" s="76" t="s">
        <v>14</v>
      </c>
      <c r="G7" s="76" t="s">
        <v>121</v>
      </c>
      <c r="H7" s="76" t="s">
        <v>16</v>
      </c>
      <c r="I7" s="90" t="s">
        <v>15</v>
      </c>
      <c r="J7" s="76" t="s">
        <v>17</v>
      </c>
      <c r="K7" s="76" t="s">
        <v>21</v>
      </c>
      <c r="L7" s="76" t="s">
        <v>18</v>
      </c>
      <c r="M7" s="89" t="s">
        <v>19</v>
      </c>
      <c r="V7" s="298"/>
      <c r="W7" s="299"/>
      <c r="X7" s="299"/>
      <c r="Y7" s="299"/>
      <c r="Z7" s="300"/>
    </row>
    <row r="8" spans="4:26" ht="15.75" thickBot="1" x14ac:dyDescent="0.3">
      <c r="D8" s="13">
        <f>D1</f>
        <v>2013</v>
      </c>
      <c r="E8" s="265">
        <v>16</v>
      </c>
      <c r="F8" s="266">
        <v>13</v>
      </c>
      <c r="G8" s="266">
        <f>19+4</f>
        <v>23</v>
      </c>
      <c r="H8" s="266">
        <f>3*1/3</f>
        <v>1</v>
      </c>
      <c r="I8" s="71">
        <f>SUM(J8:L8)</f>
        <v>0</v>
      </c>
      <c r="J8" s="267">
        <f>(J25+J35+J45)/3</f>
        <v>0</v>
      </c>
      <c r="K8" s="266">
        <f>(K25+K35+K45)/3</f>
        <v>0</v>
      </c>
      <c r="L8" s="266">
        <v>0</v>
      </c>
      <c r="M8" s="70">
        <f>SUM(E8:I8)</f>
        <v>53</v>
      </c>
      <c r="V8" s="301"/>
      <c r="W8" s="302"/>
      <c r="X8" s="302"/>
      <c r="Y8" s="302"/>
      <c r="Z8" s="303"/>
    </row>
    <row r="9" spans="4:26" ht="15.75" thickTop="1" x14ac:dyDescent="0.25">
      <c r="D9" s="13">
        <f>D8-1</f>
        <v>2012</v>
      </c>
      <c r="E9" s="260">
        <v>17</v>
      </c>
      <c r="F9" s="248">
        <v>13</v>
      </c>
      <c r="G9" s="248">
        <f>20+4</f>
        <v>24</v>
      </c>
      <c r="H9" s="248">
        <v>0</v>
      </c>
      <c r="I9" s="24">
        <f>SUM(J9:L9)</f>
        <v>0</v>
      </c>
      <c r="J9" s="247">
        <v>0</v>
      </c>
      <c r="K9" s="248">
        <v>0</v>
      </c>
      <c r="L9" s="248">
        <v>0</v>
      </c>
      <c r="M9" s="73">
        <f>SUM(E9:I9)</f>
        <v>54</v>
      </c>
      <c r="V9" s="301"/>
      <c r="W9" s="302"/>
      <c r="X9" s="302"/>
      <c r="Y9" s="302"/>
      <c r="Z9" s="303"/>
    </row>
    <row r="10" spans="4:26" x14ac:dyDescent="0.25">
      <c r="D10" s="13">
        <f>D8-2</f>
        <v>2011</v>
      </c>
      <c r="E10" s="260">
        <v>18</v>
      </c>
      <c r="F10" s="248">
        <v>10</v>
      </c>
      <c r="G10" s="248">
        <f>18+6</f>
        <v>24</v>
      </c>
      <c r="H10" s="248">
        <v>0</v>
      </c>
      <c r="I10" s="24">
        <f>SUM(J10:L10)</f>
        <v>0</v>
      </c>
      <c r="J10" s="247">
        <v>0</v>
      </c>
      <c r="K10" s="248">
        <v>0</v>
      </c>
      <c r="L10" s="248">
        <v>0</v>
      </c>
      <c r="M10" s="73">
        <f>SUM(E10:I10)</f>
        <v>52</v>
      </c>
      <c r="V10" s="304"/>
      <c r="W10" s="305"/>
      <c r="X10" s="305"/>
      <c r="Y10" s="305"/>
      <c r="Z10" s="306"/>
    </row>
    <row r="11" spans="4:26" x14ac:dyDescent="0.25">
      <c r="D11" s="75" t="s">
        <v>63</v>
      </c>
      <c r="E11" s="91">
        <f t="shared" ref="E11:M11" si="0">SUM(E8:E10)/3</f>
        <v>17</v>
      </c>
      <c r="F11" s="77">
        <f t="shared" si="0"/>
        <v>12</v>
      </c>
      <c r="G11" s="77">
        <f t="shared" si="0"/>
        <v>23.666666666666668</v>
      </c>
      <c r="H11" s="77">
        <f t="shared" si="0"/>
        <v>0.33333333333333331</v>
      </c>
      <c r="I11" s="77">
        <f t="shared" si="0"/>
        <v>0</v>
      </c>
      <c r="J11" s="92">
        <f t="shared" si="0"/>
        <v>0</v>
      </c>
      <c r="K11" s="77">
        <f t="shared" si="0"/>
        <v>0</v>
      </c>
      <c r="L11" s="77">
        <f t="shared" si="0"/>
        <v>0</v>
      </c>
      <c r="M11" s="91">
        <f t="shared" si="0"/>
        <v>53</v>
      </c>
    </row>
    <row r="32" spans="4:26" ht="15.75" thickBot="1" x14ac:dyDescent="0.3">
      <c r="D32" s="241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4" spans="4:9" ht="15.75" x14ac:dyDescent="0.25">
      <c r="D34" s="42"/>
      <c r="E34" s="43" t="s">
        <v>13</v>
      </c>
      <c r="F34" s="44" t="s">
        <v>14</v>
      </c>
      <c r="G34" s="44" t="s">
        <v>121</v>
      </c>
      <c r="H34" s="44" t="s">
        <v>16</v>
      </c>
      <c r="I34" s="45" t="s">
        <v>15</v>
      </c>
    </row>
    <row r="35" spans="4:9" x14ac:dyDescent="0.25">
      <c r="D35" s="42">
        <f>D36-1</f>
        <v>2012</v>
      </c>
      <c r="E35" s="257">
        <v>12376000</v>
      </c>
      <c r="F35" s="258">
        <v>9464000</v>
      </c>
      <c r="G35" s="258">
        <f>14560000+2912000</f>
        <v>17472000</v>
      </c>
      <c r="H35" s="258">
        <v>0</v>
      </c>
      <c r="I35" s="259">
        <v>0</v>
      </c>
    </row>
    <row r="36" spans="4:9" x14ac:dyDescent="0.25">
      <c r="D36" s="42">
        <f>D1</f>
        <v>2013</v>
      </c>
      <c r="E36" s="46">
        <f>E4</f>
        <v>11952000</v>
      </c>
      <c r="F36" s="47">
        <f>F4</f>
        <v>9711000</v>
      </c>
      <c r="G36" s="47">
        <f>G4</f>
        <v>17181000</v>
      </c>
      <c r="H36" s="47">
        <f>H4</f>
        <v>747000</v>
      </c>
      <c r="I36" s="48">
        <f>I4</f>
        <v>0</v>
      </c>
    </row>
  </sheetData>
  <sheetProtection password="F489" sheet="1" objects="1" scenarios="1" selectLockedCells="1"/>
  <mergeCells count="2">
    <mergeCell ref="V3:V4"/>
    <mergeCell ref="V7:Z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&amp;L&amp;F: &amp;A&amp;C&amp;D&amp;RSide &amp;P av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36"/>
  <sheetViews>
    <sheetView zoomScaleNormal="100" workbookViewId="0">
      <selection activeCell="B1" sqref="B1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4" width="10.28515625" bestFit="1" customWidth="1"/>
    <col min="25" max="25" width="11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67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66" t="s">
        <v>22</v>
      </c>
      <c r="E4" s="4">
        <f>E8*$S5</f>
        <v>3076500</v>
      </c>
      <c r="F4" s="5">
        <f>F8*$S5</f>
        <v>1758000</v>
      </c>
      <c r="G4" s="5">
        <f>G8*$S5</f>
        <v>3516000</v>
      </c>
      <c r="H4" s="5">
        <f>H8*$S5</f>
        <v>439500</v>
      </c>
      <c r="I4" s="5">
        <f>SUM(J4:L4)</f>
        <v>0</v>
      </c>
      <c r="J4" s="74">
        <f>J8*$S5</f>
        <v>0</v>
      </c>
      <c r="K4" s="5">
        <f>K8*$S5</f>
        <v>0</v>
      </c>
      <c r="L4" s="5">
        <f>L8*$S5</f>
        <v>0</v>
      </c>
      <c r="M4" s="31">
        <f>SUM(E4:I4)</f>
        <v>8790000</v>
      </c>
      <c r="P4" s="23"/>
      <c r="Q4" s="23"/>
      <c r="R4" s="264"/>
      <c r="S4" s="254">
        <v>1</v>
      </c>
      <c r="V4" s="297"/>
      <c r="W4" s="85">
        <f>'0-Total'!N13</f>
        <v>7924000</v>
      </c>
      <c r="X4" s="85">
        <f>M4</f>
        <v>8790000</v>
      </c>
      <c r="Y4" s="86">
        <f>W4-X4</f>
        <v>-866000</v>
      </c>
      <c r="Z4" s="87">
        <f>IFERROR(Y4/W4,"-")</f>
        <v>-0.10928823826350328</v>
      </c>
    </row>
    <row r="5" spans="4:26" x14ac:dyDescent="0.25">
      <c r="P5" s="88">
        <f>D1</f>
        <v>2013</v>
      </c>
      <c r="Q5" s="250"/>
      <c r="R5" s="251">
        <v>879000</v>
      </c>
      <c r="S5" s="252">
        <v>879000</v>
      </c>
    </row>
    <row r="6" spans="4:26" ht="15.75" x14ac:dyDescent="0.25">
      <c r="V6" s="1" t="s">
        <v>39</v>
      </c>
    </row>
    <row r="7" spans="4:26" ht="15.75" x14ac:dyDescent="0.25">
      <c r="D7" s="9" t="s">
        <v>62</v>
      </c>
      <c r="E7" s="89" t="s">
        <v>13</v>
      </c>
      <c r="F7" s="76" t="s">
        <v>14</v>
      </c>
      <c r="G7" s="76" t="s">
        <v>121</v>
      </c>
      <c r="H7" s="76" t="s">
        <v>16</v>
      </c>
      <c r="I7" s="90" t="s">
        <v>15</v>
      </c>
      <c r="J7" s="76" t="s">
        <v>17</v>
      </c>
      <c r="K7" s="76" t="s">
        <v>21</v>
      </c>
      <c r="L7" s="76" t="s">
        <v>18</v>
      </c>
      <c r="M7" s="89" t="s">
        <v>19</v>
      </c>
      <c r="V7" s="298"/>
      <c r="W7" s="299"/>
      <c r="X7" s="299"/>
      <c r="Y7" s="299"/>
      <c r="Z7" s="300"/>
    </row>
    <row r="8" spans="4:26" ht="15.75" thickBot="1" x14ac:dyDescent="0.3">
      <c r="D8" s="13">
        <f>D1</f>
        <v>2013</v>
      </c>
      <c r="E8" s="265">
        <v>3.5</v>
      </c>
      <c r="F8" s="266">
        <v>2</v>
      </c>
      <c r="G8" s="266">
        <f>3+1</f>
        <v>4</v>
      </c>
      <c r="H8" s="266">
        <v>0.5</v>
      </c>
      <c r="I8" s="71">
        <f>SUM(J8:L8)</f>
        <v>0</v>
      </c>
      <c r="J8" s="267">
        <f>(J25+J35+J45)/3</f>
        <v>0</v>
      </c>
      <c r="K8" s="266">
        <f>(K25+K35+K45)/3</f>
        <v>0</v>
      </c>
      <c r="L8" s="266">
        <v>0</v>
      </c>
      <c r="M8" s="70">
        <f>SUM(E8:I8)</f>
        <v>10</v>
      </c>
      <c r="V8" s="301"/>
      <c r="W8" s="302"/>
      <c r="X8" s="302"/>
      <c r="Y8" s="302"/>
      <c r="Z8" s="303"/>
    </row>
    <row r="9" spans="4:26" ht="15.75" thickTop="1" x14ac:dyDescent="0.25">
      <c r="D9" s="13">
        <f>D8-1</f>
        <v>2012</v>
      </c>
      <c r="E9" s="260">
        <v>3</v>
      </c>
      <c r="F9" s="248">
        <v>2</v>
      </c>
      <c r="G9" s="248">
        <f>3+1</f>
        <v>4</v>
      </c>
      <c r="H9" s="248">
        <v>0</v>
      </c>
      <c r="I9" s="24">
        <f>SUM(J9:L9)</f>
        <v>0</v>
      </c>
      <c r="J9" s="247">
        <v>0</v>
      </c>
      <c r="K9" s="248">
        <v>0</v>
      </c>
      <c r="L9" s="248">
        <v>0</v>
      </c>
      <c r="M9" s="73">
        <f>SUM(E9:I9)</f>
        <v>9</v>
      </c>
      <c r="V9" s="301"/>
      <c r="W9" s="302"/>
      <c r="X9" s="302"/>
      <c r="Y9" s="302"/>
      <c r="Z9" s="303"/>
    </row>
    <row r="10" spans="4:26" x14ac:dyDescent="0.25">
      <c r="D10" s="13">
        <f>D9-1</f>
        <v>2011</v>
      </c>
      <c r="E10" s="260">
        <v>2</v>
      </c>
      <c r="F10" s="248">
        <v>3</v>
      </c>
      <c r="G10" s="248">
        <f>2+2</f>
        <v>4</v>
      </c>
      <c r="H10" s="248">
        <v>0</v>
      </c>
      <c r="I10" s="24">
        <f>SUM(J10:L10)</f>
        <v>0</v>
      </c>
      <c r="J10" s="247">
        <v>0</v>
      </c>
      <c r="K10" s="248">
        <v>0</v>
      </c>
      <c r="L10" s="248">
        <v>0</v>
      </c>
      <c r="M10" s="73">
        <f>SUM(E10:I10)</f>
        <v>9</v>
      </c>
      <c r="V10" s="304"/>
      <c r="W10" s="305"/>
      <c r="X10" s="305"/>
      <c r="Y10" s="305"/>
      <c r="Z10" s="306"/>
    </row>
    <row r="11" spans="4:26" x14ac:dyDescent="0.25">
      <c r="D11" s="75" t="s">
        <v>63</v>
      </c>
      <c r="E11" s="91">
        <f t="shared" ref="E11:M11" si="0">SUM(E8:E10)/3</f>
        <v>2.8333333333333335</v>
      </c>
      <c r="F11" s="77">
        <f t="shared" si="0"/>
        <v>2.3333333333333335</v>
      </c>
      <c r="G11" s="77">
        <f t="shared" si="0"/>
        <v>4</v>
      </c>
      <c r="H11" s="77">
        <f t="shared" si="0"/>
        <v>0.16666666666666666</v>
      </c>
      <c r="I11" s="77">
        <f t="shared" si="0"/>
        <v>0</v>
      </c>
      <c r="J11" s="92">
        <f t="shared" si="0"/>
        <v>0</v>
      </c>
      <c r="K11" s="77">
        <f t="shared" si="0"/>
        <v>0</v>
      </c>
      <c r="L11" s="77">
        <f t="shared" si="0"/>
        <v>0</v>
      </c>
      <c r="M11" s="91">
        <f t="shared" si="0"/>
        <v>9.3333333333333339</v>
      </c>
    </row>
    <row r="32" spans="4:26" ht="15.75" thickBot="1" x14ac:dyDescent="0.3">
      <c r="D32" s="241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4" spans="4:9" ht="15.75" x14ac:dyDescent="0.25">
      <c r="D34" s="42"/>
      <c r="E34" s="43" t="s">
        <v>13</v>
      </c>
      <c r="F34" s="44" t="s">
        <v>14</v>
      </c>
      <c r="G34" s="44" t="s">
        <v>121</v>
      </c>
      <c r="H34" s="44" t="s">
        <v>16</v>
      </c>
      <c r="I34" s="45" t="s">
        <v>15</v>
      </c>
    </row>
    <row r="35" spans="4:9" x14ac:dyDescent="0.25">
      <c r="D35" s="42">
        <f>D36-1</f>
        <v>2012</v>
      </c>
      <c r="E35" s="257">
        <v>2571000</v>
      </c>
      <c r="F35" s="258">
        <v>1714000</v>
      </c>
      <c r="G35" s="258">
        <f>2571000+857000</f>
        <v>3428000</v>
      </c>
      <c r="H35" s="258">
        <v>0</v>
      </c>
      <c r="I35" s="259">
        <v>0</v>
      </c>
    </row>
    <row r="36" spans="4:9" x14ac:dyDescent="0.25">
      <c r="D36" s="42">
        <f>D1</f>
        <v>2013</v>
      </c>
      <c r="E36" s="46">
        <f>E4</f>
        <v>3076500</v>
      </c>
      <c r="F36" s="47">
        <f>F4</f>
        <v>1758000</v>
      </c>
      <c r="G36" s="47">
        <f>G4</f>
        <v>3516000</v>
      </c>
      <c r="H36" s="47">
        <f>H4</f>
        <v>439500</v>
      </c>
      <c r="I36" s="48">
        <f>I4</f>
        <v>0</v>
      </c>
    </row>
  </sheetData>
  <sheetProtection password="F489" sheet="1" objects="1" scenarios="1" selectLockedCells="1"/>
  <mergeCells count="2">
    <mergeCell ref="V3:V4"/>
    <mergeCell ref="V7:Z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&amp;L&amp;F: &amp;A&amp;C&amp;D&amp;RSide &amp;P av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36"/>
  <sheetViews>
    <sheetView zoomScaleNormal="100" workbookViewId="0">
      <selection activeCell="B1" sqref="B1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4" width="10.28515625" bestFit="1" customWidth="1"/>
    <col min="25" max="25" width="11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68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66" t="s">
        <v>22</v>
      </c>
      <c r="E4" s="4">
        <f>E8*$S5</f>
        <v>5799066.666666667</v>
      </c>
      <c r="F4" s="5">
        <f>F8*$S5</f>
        <v>4305600</v>
      </c>
      <c r="G4" s="5">
        <f>G8*$S5</f>
        <v>9736666.666666666</v>
      </c>
      <c r="H4" s="5">
        <f>H8*$S5</f>
        <v>0</v>
      </c>
      <c r="I4" s="5">
        <f>SUM(J4:L4)</f>
        <v>36800</v>
      </c>
      <c r="J4" s="74">
        <f>J8*$S5</f>
        <v>36800</v>
      </c>
      <c r="K4" s="5">
        <f>K8*$S5</f>
        <v>0</v>
      </c>
      <c r="L4" s="5">
        <f>L8*$S5</f>
        <v>0</v>
      </c>
      <c r="M4" s="31">
        <f>SUM(E4:I4)</f>
        <v>19878133.333333336</v>
      </c>
      <c r="P4" s="23"/>
      <c r="Q4" s="23"/>
      <c r="R4" s="263">
        <f>R5/Q5</f>
        <v>0.71982974461692539</v>
      </c>
      <c r="S4" s="254">
        <v>4</v>
      </c>
      <c r="V4" s="297"/>
      <c r="W4" s="85">
        <f>'0-Total'!N14</f>
        <v>4971000</v>
      </c>
      <c r="X4" s="85">
        <f>M4</f>
        <v>19878133.333333336</v>
      </c>
      <c r="Y4" s="86">
        <f>W4-X4</f>
        <v>-14907133.333333336</v>
      </c>
      <c r="Z4" s="87">
        <f>IFERROR(Y4/W4,"-")</f>
        <v>-2.9988198216321336</v>
      </c>
    </row>
    <row r="5" spans="4:26" x14ac:dyDescent="0.25">
      <c r="P5" s="88">
        <f>D1</f>
        <v>2013</v>
      </c>
      <c r="Q5" s="250">
        <v>31952</v>
      </c>
      <c r="R5" s="251">
        <v>23000</v>
      </c>
      <c r="S5" s="252">
        <f>R5*S4</f>
        <v>92000</v>
      </c>
    </row>
    <row r="6" spans="4:26" ht="15.75" x14ac:dyDescent="0.25">
      <c r="V6" s="1" t="s">
        <v>39</v>
      </c>
    </row>
    <row r="7" spans="4:26" ht="15.75" x14ac:dyDescent="0.25">
      <c r="D7" s="9" t="s">
        <v>62</v>
      </c>
      <c r="E7" s="10" t="s">
        <v>13</v>
      </c>
      <c r="F7" s="11" t="s">
        <v>14</v>
      </c>
      <c r="G7" s="11" t="s">
        <v>121</v>
      </c>
      <c r="H7" s="11" t="s">
        <v>16</v>
      </c>
      <c r="I7" s="12" t="s">
        <v>15</v>
      </c>
      <c r="J7" s="11" t="s">
        <v>17</v>
      </c>
      <c r="K7" s="11" t="s">
        <v>21</v>
      </c>
      <c r="L7" s="11" t="s">
        <v>18</v>
      </c>
      <c r="M7" s="10" t="s">
        <v>19</v>
      </c>
      <c r="V7" s="298"/>
      <c r="W7" s="299"/>
      <c r="X7" s="299"/>
      <c r="Y7" s="299"/>
      <c r="Z7" s="300"/>
    </row>
    <row r="8" spans="4:26" ht="15.75" thickBot="1" x14ac:dyDescent="0.3">
      <c r="D8" s="75" t="s">
        <v>63</v>
      </c>
      <c r="E8" s="14">
        <f t="shared" ref="E8:M8" si="0">SUM(E9:E11)/3</f>
        <v>63.033333333333339</v>
      </c>
      <c r="F8" s="15">
        <f t="shared" si="0"/>
        <v>46.800000000000004</v>
      </c>
      <c r="G8" s="15">
        <f t="shared" si="0"/>
        <v>105.83333333333333</v>
      </c>
      <c r="H8" s="15">
        <f t="shared" si="0"/>
        <v>0</v>
      </c>
      <c r="I8" s="15">
        <f t="shared" si="0"/>
        <v>0.39999999999999997</v>
      </c>
      <c r="J8" s="69">
        <f t="shared" si="0"/>
        <v>0.39999999999999997</v>
      </c>
      <c r="K8" s="15">
        <f t="shared" si="0"/>
        <v>0</v>
      </c>
      <c r="L8" s="15">
        <f t="shared" si="0"/>
        <v>0</v>
      </c>
      <c r="M8" s="14">
        <f t="shared" si="0"/>
        <v>216.06666666666669</v>
      </c>
      <c r="V8" s="301"/>
      <c r="W8" s="302"/>
      <c r="X8" s="302"/>
      <c r="Y8" s="302"/>
      <c r="Z8" s="303"/>
    </row>
    <row r="9" spans="4:26" ht="15.75" thickTop="1" x14ac:dyDescent="0.25">
      <c r="D9" s="13">
        <f>D1-2</f>
        <v>2011</v>
      </c>
      <c r="E9" s="255">
        <v>83.5</v>
      </c>
      <c r="F9" s="268">
        <v>51.1</v>
      </c>
      <c r="G9" s="268">
        <f>91.8+19.3</f>
        <v>111.1</v>
      </c>
      <c r="H9" s="269">
        <v>0</v>
      </c>
      <c r="I9" s="21">
        <f>SUM(J9:L9)</f>
        <v>0</v>
      </c>
      <c r="J9" s="270">
        <f>(J25+J35+J45)/3</f>
        <v>0</v>
      </c>
      <c r="K9" s="268">
        <f>(K25+K35+K45)/3</f>
        <v>0</v>
      </c>
      <c r="L9" s="269">
        <v>0</v>
      </c>
      <c r="M9" s="18">
        <f>SUM(E9:I9)</f>
        <v>245.7</v>
      </c>
      <c r="V9" s="301"/>
      <c r="W9" s="302"/>
      <c r="X9" s="302"/>
      <c r="Y9" s="302"/>
      <c r="Z9" s="303"/>
    </row>
    <row r="10" spans="4:26" x14ac:dyDescent="0.25">
      <c r="D10" s="13">
        <f>D9-1</f>
        <v>2010</v>
      </c>
      <c r="E10" s="255">
        <v>69.900000000000006</v>
      </c>
      <c r="F10" s="269">
        <v>61.9</v>
      </c>
      <c r="G10" s="269">
        <f>88.6+19.7</f>
        <v>108.3</v>
      </c>
      <c r="H10" s="269">
        <v>0</v>
      </c>
      <c r="I10" s="21">
        <f>SUM(J10:L10)</f>
        <v>0.7</v>
      </c>
      <c r="J10" s="271">
        <v>0.7</v>
      </c>
      <c r="K10" s="269">
        <v>0</v>
      </c>
      <c r="L10" s="269">
        <v>0</v>
      </c>
      <c r="M10" s="18">
        <f>SUM(E10:I10)</f>
        <v>240.8</v>
      </c>
      <c r="V10" s="304"/>
      <c r="W10" s="305"/>
      <c r="X10" s="305"/>
      <c r="Y10" s="305"/>
      <c r="Z10" s="306"/>
    </row>
    <row r="11" spans="4:26" x14ac:dyDescent="0.25">
      <c r="D11" s="13">
        <f>D10-1</f>
        <v>2009</v>
      </c>
      <c r="E11" s="255">
        <v>35.700000000000003</v>
      </c>
      <c r="F11" s="269">
        <v>27.4</v>
      </c>
      <c r="G11" s="269">
        <f>70.7+27.4</f>
        <v>98.1</v>
      </c>
      <c r="H11" s="269">
        <v>0</v>
      </c>
      <c r="I11" s="21">
        <f>SUM(J11:L11)</f>
        <v>0.5</v>
      </c>
      <c r="J11" s="271">
        <v>0.5</v>
      </c>
      <c r="K11" s="269">
        <v>0</v>
      </c>
      <c r="L11" s="269">
        <v>0</v>
      </c>
      <c r="M11" s="18">
        <f>SUM(E11:I11)</f>
        <v>161.69999999999999</v>
      </c>
    </row>
    <row r="32" spans="4:26" ht="15.75" thickBot="1" x14ac:dyDescent="0.3">
      <c r="D32" s="241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4" spans="4:9" ht="15.75" x14ac:dyDescent="0.25">
      <c r="D34" s="42"/>
      <c r="E34" s="43" t="s">
        <v>13</v>
      </c>
      <c r="F34" s="44" t="s">
        <v>14</v>
      </c>
      <c r="G34" s="44" t="s">
        <v>121</v>
      </c>
      <c r="H34" s="44" t="s">
        <v>16</v>
      </c>
      <c r="I34" s="45" t="s">
        <v>15</v>
      </c>
    </row>
    <row r="35" spans="4:9" x14ac:dyDescent="0.25">
      <c r="D35" s="42">
        <f>D36-1</f>
        <v>2012</v>
      </c>
      <c r="E35" s="257">
        <v>4443600</v>
      </c>
      <c r="F35" s="258">
        <v>3686133</v>
      </c>
      <c r="G35" s="258">
        <f>7501067+1794000</f>
        <v>9295067</v>
      </c>
      <c r="H35" s="258">
        <v>0</v>
      </c>
      <c r="I35" s="259">
        <v>180933</v>
      </c>
    </row>
    <row r="36" spans="4:9" x14ac:dyDescent="0.25">
      <c r="D36" s="42">
        <f>D1</f>
        <v>2013</v>
      </c>
      <c r="E36" s="46">
        <f>E4</f>
        <v>5799066.666666667</v>
      </c>
      <c r="F36" s="47">
        <f>F4</f>
        <v>4305600</v>
      </c>
      <c r="G36" s="47">
        <f>G4</f>
        <v>9736666.666666666</v>
      </c>
      <c r="H36" s="47">
        <f>H4</f>
        <v>0</v>
      </c>
      <c r="I36" s="48">
        <f>I4</f>
        <v>36800</v>
      </c>
    </row>
  </sheetData>
  <sheetProtection password="F489" sheet="1" objects="1" scenarios="1" selectLockedCells="1"/>
  <mergeCells count="2">
    <mergeCell ref="V3:V4"/>
    <mergeCell ref="V7:Z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&amp;L&amp;F: &amp;A&amp;C&amp;D&amp;RSide &amp;P av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Z49"/>
  <sheetViews>
    <sheetView topLeftCell="A13" zoomScaleNormal="100" workbookViewId="0">
      <selection activeCell="B1" sqref="B1"/>
    </sheetView>
  </sheetViews>
  <sheetFormatPr defaultRowHeight="15" outlineLevelCol="1" x14ac:dyDescent="0.25"/>
  <cols>
    <col min="1" max="3" width="2.7109375" customWidth="1"/>
    <col min="4" max="4" width="9.7109375" style="3" customWidth="1"/>
    <col min="5" max="9" width="10.7109375" customWidth="1"/>
    <col min="10" max="12" width="10.7109375" customWidth="1" outlineLevel="1"/>
    <col min="13" max="13" width="12.28515625" customWidth="1"/>
    <col min="14" max="15" width="2.7109375" customWidth="1"/>
    <col min="16" max="19" width="9.7109375" customWidth="1"/>
    <col min="20" max="21" width="2.7109375" customWidth="1"/>
    <col min="22" max="22" width="9.7109375" customWidth="1"/>
    <col min="23" max="25" width="10.28515625" bestFit="1" customWidth="1"/>
    <col min="27" max="29" width="2.7109375" customWidth="1"/>
  </cols>
  <sheetData>
    <row r="1" spans="4:26" ht="23.25" x14ac:dyDescent="0.35">
      <c r="D1" s="41">
        <f>'0-Total'!B1</f>
        <v>2013</v>
      </c>
      <c r="E1" s="40" t="s">
        <v>69</v>
      </c>
    </row>
    <row r="2" spans="4:26" ht="15.75" thickBot="1" x14ac:dyDescent="0.3"/>
    <row r="3" spans="4:26" s="1" customFormat="1" ht="31.5" x14ac:dyDescent="0.25">
      <c r="D3" s="25" t="s">
        <v>31</v>
      </c>
      <c r="E3" s="26" t="s">
        <v>13</v>
      </c>
      <c r="F3" s="27" t="s">
        <v>14</v>
      </c>
      <c r="G3" s="27" t="s">
        <v>121</v>
      </c>
      <c r="H3" s="27" t="s">
        <v>16</v>
      </c>
      <c r="I3" s="28" t="s">
        <v>15</v>
      </c>
      <c r="J3" s="27" t="s">
        <v>17</v>
      </c>
      <c r="K3" s="27" t="s">
        <v>21</v>
      </c>
      <c r="L3" s="27" t="s">
        <v>18</v>
      </c>
      <c r="M3" s="29" t="s">
        <v>19</v>
      </c>
      <c r="N3" s="2"/>
      <c r="O3" s="2"/>
      <c r="P3" s="78" t="s">
        <v>55</v>
      </c>
      <c r="Q3" s="78" t="s">
        <v>32</v>
      </c>
      <c r="R3" s="79" t="s">
        <v>33</v>
      </c>
      <c r="S3" s="80" t="s">
        <v>34</v>
      </c>
      <c r="T3" s="2"/>
      <c r="U3" s="2"/>
      <c r="V3" s="296" t="s">
        <v>35</v>
      </c>
      <c r="W3" s="82" t="s">
        <v>36</v>
      </c>
      <c r="X3" s="82" t="s">
        <v>37</v>
      </c>
      <c r="Y3" s="83" t="s">
        <v>38</v>
      </c>
      <c r="Z3" s="84" t="s">
        <v>44</v>
      </c>
    </row>
    <row r="4" spans="4:26" ht="15.75" thickBot="1" x14ac:dyDescent="0.3">
      <c r="D4" s="30" t="s">
        <v>22</v>
      </c>
      <c r="E4" s="4">
        <f>SUM(E5:E6)</f>
        <v>1932824.5119999999</v>
      </c>
      <c r="F4" s="5">
        <f>SUM(F5:F6)</f>
        <v>263558.56800000003</v>
      </c>
      <c r="G4" s="5">
        <f>SUM(G5:G6)</f>
        <v>2387867.92</v>
      </c>
      <c r="H4" s="5">
        <f>SUM(H5:H6)</f>
        <v>0</v>
      </c>
      <c r="I4" s="6">
        <f>SUM(J4:L4)</f>
        <v>352248.73600000003</v>
      </c>
      <c r="J4" s="5">
        <f>SUM(J5:J6)</f>
        <v>352248.73600000003</v>
      </c>
      <c r="K4" s="5">
        <f>SUM(K5:K6)</f>
        <v>0</v>
      </c>
      <c r="L4" s="5">
        <f>SUM(L5:L6)</f>
        <v>0</v>
      </c>
      <c r="M4" s="31">
        <f>SUM(E4:I4)</f>
        <v>4936499.7359999996</v>
      </c>
      <c r="P4" s="23"/>
      <c r="Q4" s="23"/>
      <c r="R4" s="253" t="s">
        <v>73</v>
      </c>
      <c r="S4" s="254">
        <v>1</v>
      </c>
      <c r="V4" s="297"/>
      <c r="W4" s="85">
        <f>'0-Total'!N15</f>
        <v>4877000</v>
      </c>
      <c r="X4" s="85">
        <f>M4</f>
        <v>4936499.7359999996</v>
      </c>
      <c r="Y4" s="86">
        <f>W4-X4</f>
        <v>-59499.735999999568</v>
      </c>
      <c r="Z4" s="87">
        <f>IFERROR(Y4/W4,"-")</f>
        <v>-1.2200068894812297E-2</v>
      </c>
    </row>
    <row r="5" spans="4:26" ht="15.75" thickTop="1" x14ac:dyDescent="0.25">
      <c r="D5" s="32" t="s">
        <v>70</v>
      </c>
      <c r="E5" s="7">
        <f t="shared" ref="E5:H6" si="0">E11*$S5</f>
        <v>1913728.5119999999</v>
      </c>
      <c r="F5" s="33">
        <f t="shared" si="0"/>
        <v>0</v>
      </c>
      <c r="G5" s="33">
        <f t="shared" si="0"/>
        <v>1574155.7760000001</v>
      </c>
      <c r="H5" s="33">
        <f t="shared" si="0"/>
        <v>0</v>
      </c>
      <c r="I5" s="8">
        <f>SUM(J5:L5)</f>
        <v>0</v>
      </c>
      <c r="J5" s="33">
        <f t="shared" ref="J5:L6" si="1">J11*$S5</f>
        <v>0</v>
      </c>
      <c r="K5" s="33">
        <f t="shared" si="1"/>
        <v>0</v>
      </c>
      <c r="L5" s="33">
        <f t="shared" si="1"/>
        <v>0</v>
      </c>
      <c r="M5" s="34">
        <f>SUM(E5:I5)</f>
        <v>3487884.2879999997</v>
      </c>
      <c r="P5" s="23" t="s">
        <v>70</v>
      </c>
      <c r="Q5" s="276">
        <v>1.0760000000000001</v>
      </c>
      <c r="R5" s="272">
        <v>1.1519999999999999</v>
      </c>
      <c r="S5" s="273">
        <v>1.1519999999999999</v>
      </c>
    </row>
    <row r="6" spans="4:26" ht="16.5" thickBot="1" x14ac:dyDescent="0.3">
      <c r="D6" s="35" t="s">
        <v>71</v>
      </c>
      <c r="E6" s="36">
        <f t="shared" si="0"/>
        <v>19096.000000000004</v>
      </c>
      <c r="F6" s="37">
        <f t="shared" si="0"/>
        <v>263558.56800000003</v>
      </c>
      <c r="G6" s="37">
        <f t="shared" si="0"/>
        <v>813712.14400000009</v>
      </c>
      <c r="H6" s="37">
        <f t="shared" si="0"/>
        <v>0</v>
      </c>
      <c r="I6" s="38">
        <f>SUM(J6:L6)</f>
        <v>352248.73600000003</v>
      </c>
      <c r="J6" s="37">
        <f t="shared" si="1"/>
        <v>352248.73600000003</v>
      </c>
      <c r="K6" s="37">
        <f t="shared" si="1"/>
        <v>0</v>
      </c>
      <c r="L6" s="37">
        <f t="shared" si="1"/>
        <v>0</v>
      </c>
      <c r="M6" s="39">
        <f>SUM(E6:I6)</f>
        <v>1448615.4480000001</v>
      </c>
      <c r="P6" s="81" t="s">
        <v>71</v>
      </c>
      <c r="Q6" s="277">
        <v>0.151</v>
      </c>
      <c r="R6" s="274">
        <v>8.4000000000000005E-2</v>
      </c>
      <c r="S6" s="275">
        <v>8.4000000000000005E-2</v>
      </c>
      <c r="V6" s="1" t="s">
        <v>39</v>
      </c>
    </row>
    <row r="7" spans="4:26" x14ac:dyDescent="0.25">
      <c r="V7" s="298"/>
      <c r="W7" s="299"/>
      <c r="X7" s="299"/>
      <c r="Y7" s="299"/>
      <c r="Z7" s="300"/>
    </row>
    <row r="8" spans="4:26" x14ac:dyDescent="0.25">
      <c r="V8" s="301"/>
      <c r="W8" s="302"/>
      <c r="X8" s="302"/>
      <c r="Y8" s="302"/>
      <c r="Z8" s="303"/>
    </row>
    <row r="9" spans="4:26" ht="15.75" x14ac:dyDescent="0.25">
      <c r="D9" s="9" t="s">
        <v>57</v>
      </c>
      <c r="E9" s="10" t="s">
        <v>13</v>
      </c>
      <c r="F9" s="11" t="s">
        <v>14</v>
      </c>
      <c r="G9" s="11" t="s">
        <v>121</v>
      </c>
      <c r="H9" s="11" t="s">
        <v>16</v>
      </c>
      <c r="I9" s="12" t="s">
        <v>15</v>
      </c>
      <c r="J9" s="11" t="s">
        <v>17</v>
      </c>
      <c r="K9" s="11" t="s">
        <v>21</v>
      </c>
      <c r="L9" s="11" t="s">
        <v>18</v>
      </c>
      <c r="M9" s="10" t="s">
        <v>19</v>
      </c>
      <c r="V9" s="301"/>
      <c r="W9" s="302"/>
      <c r="X9" s="302"/>
      <c r="Y9" s="302"/>
      <c r="Z9" s="303"/>
    </row>
    <row r="10" spans="4:26" x14ac:dyDescent="0.25">
      <c r="D10" s="13" t="s">
        <v>58</v>
      </c>
      <c r="E10" s="93"/>
      <c r="F10" s="94"/>
      <c r="G10" s="94"/>
      <c r="H10" s="94"/>
      <c r="I10" s="95"/>
      <c r="J10" s="94"/>
      <c r="K10" s="94"/>
      <c r="L10" s="94"/>
      <c r="M10" s="93"/>
      <c r="V10" s="304"/>
      <c r="W10" s="305"/>
      <c r="X10" s="305"/>
      <c r="Y10" s="305"/>
      <c r="Z10" s="306"/>
    </row>
    <row r="11" spans="4:26" ht="15.75" thickBot="1" x14ac:dyDescent="0.3">
      <c r="D11" s="17" t="s">
        <v>70</v>
      </c>
      <c r="E11" s="96">
        <f t="shared" ref="E11:H12" si="2">(E17+E23+E29)/3</f>
        <v>1661222.6666666667</v>
      </c>
      <c r="F11" s="97">
        <f t="shared" si="2"/>
        <v>0</v>
      </c>
      <c r="G11" s="97">
        <f t="shared" si="2"/>
        <v>1366454.6666666667</v>
      </c>
      <c r="H11" s="97">
        <f t="shared" si="2"/>
        <v>0</v>
      </c>
      <c r="I11" s="97">
        <f>SUM(J11:L11)</f>
        <v>0</v>
      </c>
      <c r="J11" s="98">
        <f t="shared" ref="J11:L12" si="3">(J17+J23+J29)/3</f>
        <v>0</v>
      </c>
      <c r="K11" s="97">
        <f t="shared" si="3"/>
        <v>0</v>
      </c>
      <c r="L11" s="97">
        <f t="shared" si="3"/>
        <v>0</v>
      </c>
      <c r="M11" s="96">
        <f>SUM(E11:I11)</f>
        <v>3027677.3333333335</v>
      </c>
    </row>
    <row r="12" spans="4:26" ht="16.5" thickTop="1" thickBot="1" x14ac:dyDescent="0.3">
      <c r="D12" s="17" t="s">
        <v>71</v>
      </c>
      <c r="E12" s="96">
        <f t="shared" si="2"/>
        <v>227333.33333333334</v>
      </c>
      <c r="F12" s="97">
        <f t="shared" si="2"/>
        <v>3137602</v>
      </c>
      <c r="G12" s="97">
        <f t="shared" si="2"/>
        <v>9687049.333333334</v>
      </c>
      <c r="H12" s="97">
        <f t="shared" si="2"/>
        <v>0</v>
      </c>
      <c r="I12" s="100">
        <f>SUM(J12:L12)</f>
        <v>4193437.3333333335</v>
      </c>
      <c r="J12" s="98">
        <f t="shared" si="3"/>
        <v>4193437.3333333335</v>
      </c>
      <c r="K12" s="97">
        <f t="shared" si="3"/>
        <v>0</v>
      </c>
      <c r="L12" s="97">
        <f t="shared" si="3"/>
        <v>0</v>
      </c>
      <c r="M12" s="99">
        <f>SUM(E12:I12)</f>
        <v>17245422</v>
      </c>
    </row>
    <row r="13" spans="4:26" ht="15.75" thickTop="1" x14ac:dyDescent="0.25"/>
    <row r="15" spans="4:26" ht="15.75" x14ac:dyDescent="0.25">
      <c r="D15" s="9">
        <f>D1-1</f>
        <v>2012</v>
      </c>
      <c r="E15" s="10" t="s">
        <v>13</v>
      </c>
      <c r="F15" s="11" t="s">
        <v>14</v>
      </c>
      <c r="G15" s="156" t="s">
        <v>121</v>
      </c>
      <c r="H15" s="11" t="s">
        <v>16</v>
      </c>
      <c r="I15" s="12" t="s">
        <v>15</v>
      </c>
      <c r="J15" s="11" t="s">
        <v>17</v>
      </c>
      <c r="K15" s="11" t="s">
        <v>21</v>
      </c>
      <c r="L15" s="11" t="s">
        <v>18</v>
      </c>
      <c r="M15" s="10" t="s">
        <v>19</v>
      </c>
    </row>
    <row r="16" spans="4:26" x14ac:dyDescent="0.25">
      <c r="D16" s="13" t="s">
        <v>72</v>
      </c>
      <c r="E16" s="93"/>
      <c r="F16" s="94"/>
      <c r="G16" s="94"/>
      <c r="H16" s="94"/>
      <c r="I16" s="95"/>
      <c r="J16" s="94"/>
      <c r="K16" s="94"/>
      <c r="L16" s="94"/>
      <c r="M16" s="93"/>
    </row>
    <row r="17" spans="4:13" ht="15.75" thickBot="1" x14ac:dyDescent="0.3">
      <c r="D17" s="17" t="s">
        <v>70</v>
      </c>
      <c r="E17" s="278">
        <v>801395</v>
      </c>
      <c r="F17" s="244">
        <v>0</v>
      </c>
      <c r="G17" s="244">
        <v>126160</v>
      </c>
      <c r="H17" s="244">
        <v>0</v>
      </c>
      <c r="I17" s="97">
        <f>SUM(J17:L17)</f>
        <v>0</v>
      </c>
      <c r="J17" s="245">
        <v>0</v>
      </c>
      <c r="K17" s="244">
        <v>0</v>
      </c>
      <c r="L17" s="244">
        <v>0</v>
      </c>
      <c r="M17" s="96">
        <f>SUM(E17:L17)</f>
        <v>927555</v>
      </c>
    </row>
    <row r="18" spans="4:13" ht="16.5" thickTop="1" thickBot="1" x14ac:dyDescent="0.3">
      <c r="D18" s="17" t="s">
        <v>71</v>
      </c>
      <c r="E18" s="279">
        <v>500000</v>
      </c>
      <c r="F18" s="280">
        <v>3888640</v>
      </c>
      <c r="G18" s="280">
        <f>6528324+8897083</f>
        <v>15425407</v>
      </c>
      <c r="H18" s="280">
        <v>0</v>
      </c>
      <c r="I18" s="100">
        <f>SUM(J18:L18)</f>
        <v>3933000</v>
      </c>
      <c r="J18" s="281">
        <v>3933000</v>
      </c>
      <c r="K18" s="280">
        <v>0</v>
      </c>
      <c r="L18" s="280">
        <v>0</v>
      </c>
      <c r="M18" s="99">
        <f>SUM(E18:L18)</f>
        <v>27680047</v>
      </c>
    </row>
    <row r="19" spans="4:13" ht="15.75" thickTop="1" x14ac:dyDescent="0.25"/>
    <row r="21" spans="4:13" ht="15.75" x14ac:dyDescent="0.25">
      <c r="D21" s="9">
        <f>D15-1</f>
        <v>2011</v>
      </c>
      <c r="E21" s="10" t="s">
        <v>13</v>
      </c>
      <c r="F21" s="11" t="s">
        <v>14</v>
      </c>
      <c r="G21" s="156" t="s">
        <v>121</v>
      </c>
      <c r="H21" s="11" t="s">
        <v>16</v>
      </c>
      <c r="I21" s="12" t="s">
        <v>15</v>
      </c>
      <c r="J21" s="11" t="s">
        <v>17</v>
      </c>
      <c r="K21" s="11" t="s">
        <v>21</v>
      </c>
      <c r="L21" s="11" t="s">
        <v>18</v>
      </c>
      <c r="M21" s="10" t="s">
        <v>19</v>
      </c>
    </row>
    <row r="22" spans="4:13" x14ac:dyDescent="0.25">
      <c r="D22" s="13" t="s">
        <v>72</v>
      </c>
      <c r="E22" s="93"/>
      <c r="F22" s="94"/>
      <c r="G22" s="94"/>
      <c r="H22" s="94"/>
      <c r="I22" s="95"/>
      <c r="J22" s="94"/>
      <c r="K22" s="94"/>
      <c r="L22" s="94"/>
      <c r="M22" s="93"/>
    </row>
    <row r="23" spans="4:13" ht="15.75" thickBot="1" x14ac:dyDescent="0.3">
      <c r="D23" s="17" t="s">
        <v>70</v>
      </c>
      <c r="E23" s="278">
        <v>1677112</v>
      </c>
      <c r="F23" s="244">
        <v>0</v>
      </c>
      <c r="G23" s="244">
        <v>2078678</v>
      </c>
      <c r="H23" s="244">
        <v>0</v>
      </c>
      <c r="I23" s="97">
        <f>SUM(J23:L23)</f>
        <v>0</v>
      </c>
      <c r="J23" s="245">
        <v>0</v>
      </c>
      <c r="K23" s="244">
        <v>0</v>
      </c>
      <c r="L23" s="244">
        <v>0</v>
      </c>
      <c r="M23" s="96">
        <f>SUM(E23:I23)</f>
        <v>3755790</v>
      </c>
    </row>
    <row r="24" spans="4:13" ht="16.5" thickTop="1" thickBot="1" x14ac:dyDescent="0.3">
      <c r="D24" s="17" t="s">
        <v>71</v>
      </c>
      <c r="E24" s="279">
        <v>182000</v>
      </c>
      <c r="F24" s="280">
        <v>3057000</v>
      </c>
      <c r="G24" s="280">
        <f>3398000+3491000</f>
        <v>6889000</v>
      </c>
      <c r="H24" s="280">
        <v>0</v>
      </c>
      <c r="I24" s="100">
        <f>SUM(J24:L24)</f>
        <v>3912000</v>
      </c>
      <c r="J24" s="281">
        <v>3912000</v>
      </c>
      <c r="K24" s="280">
        <v>0</v>
      </c>
      <c r="L24" s="280">
        <v>0</v>
      </c>
      <c r="M24" s="99">
        <f>SUM(E24:I24)</f>
        <v>14040000</v>
      </c>
    </row>
    <row r="25" spans="4:13" ht="15.75" thickTop="1" x14ac:dyDescent="0.25"/>
    <row r="27" spans="4:13" ht="15.75" x14ac:dyDescent="0.25">
      <c r="D27" s="9">
        <f>D21-1</f>
        <v>2010</v>
      </c>
      <c r="E27" s="10" t="s">
        <v>13</v>
      </c>
      <c r="F27" s="11" t="s">
        <v>14</v>
      </c>
      <c r="G27" s="156" t="s">
        <v>121</v>
      </c>
      <c r="H27" s="11" t="s">
        <v>16</v>
      </c>
      <c r="I27" s="12" t="s">
        <v>15</v>
      </c>
      <c r="J27" s="11" t="s">
        <v>17</v>
      </c>
      <c r="K27" s="11" t="s">
        <v>21</v>
      </c>
      <c r="L27" s="11" t="s">
        <v>18</v>
      </c>
      <c r="M27" s="10" t="s">
        <v>19</v>
      </c>
    </row>
    <row r="28" spans="4:13" x14ac:dyDescent="0.25">
      <c r="D28" s="13" t="s">
        <v>72</v>
      </c>
      <c r="E28" s="93"/>
      <c r="F28" s="94"/>
      <c r="G28" s="94"/>
      <c r="H28" s="94"/>
      <c r="I28" s="95"/>
      <c r="J28" s="94"/>
      <c r="K28" s="94"/>
      <c r="L28" s="94"/>
      <c r="M28" s="93"/>
    </row>
    <row r="29" spans="4:13" ht="15.75" thickBot="1" x14ac:dyDescent="0.3">
      <c r="D29" s="17" t="s">
        <v>70</v>
      </c>
      <c r="E29" s="282">
        <v>2505161</v>
      </c>
      <c r="F29" s="244">
        <v>0</v>
      </c>
      <c r="G29" s="244">
        <v>1894526</v>
      </c>
      <c r="H29" s="244">
        <v>0</v>
      </c>
      <c r="I29" s="97">
        <f>SUM(J29:L29)</f>
        <v>0</v>
      </c>
      <c r="J29" s="245">
        <v>0</v>
      </c>
      <c r="K29" s="244">
        <v>0</v>
      </c>
      <c r="L29" s="244">
        <v>0</v>
      </c>
      <c r="M29" s="96">
        <f>SUM(E29:L29)</f>
        <v>4399687</v>
      </c>
    </row>
    <row r="30" spans="4:13" ht="16.5" thickTop="1" thickBot="1" x14ac:dyDescent="0.3">
      <c r="D30" s="17" t="s">
        <v>71</v>
      </c>
      <c r="E30" s="283">
        <v>0</v>
      </c>
      <c r="F30" s="280">
        <v>2467166</v>
      </c>
      <c r="G30" s="280">
        <f>5359141+1387600</f>
        <v>6746741</v>
      </c>
      <c r="H30" s="280">
        <v>0</v>
      </c>
      <c r="I30" s="100">
        <f>SUM(J30:L30)</f>
        <v>4735312</v>
      </c>
      <c r="J30" s="281">
        <v>4735312</v>
      </c>
      <c r="K30" s="280">
        <v>0</v>
      </c>
      <c r="L30" s="280">
        <v>0</v>
      </c>
      <c r="M30" s="99">
        <f>SUM(E30:L30)</f>
        <v>18684531</v>
      </c>
    </row>
    <row r="31" spans="4:13" ht="15.75" thickTop="1" x14ac:dyDescent="0.25"/>
    <row r="45" spans="4:26" ht="15.75" thickBot="1" x14ac:dyDescent="0.3">
      <c r="D45" s="241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</row>
    <row r="47" spans="4:26" ht="15.75" x14ac:dyDescent="0.25">
      <c r="D47" s="42"/>
      <c r="E47" s="43" t="s">
        <v>13</v>
      </c>
      <c r="F47" s="44" t="s">
        <v>14</v>
      </c>
      <c r="G47" s="44" t="s">
        <v>121</v>
      </c>
      <c r="H47" s="44" t="s">
        <v>16</v>
      </c>
      <c r="I47" s="45" t="s">
        <v>15</v>
      </c>
    </row>
    <row r="48" spans="4:26" x14ac:dyDescent="0.25">
      <c r="D48" s="42">
        <f>D49-1</f>
        <v>2012</v>
      </c>
      <c r="E48" s="257">
        <v>1609533</v>
      </c>
      <c r="F48" s="258">
        <v>206057</v>
      </c>
      <c r="G48" s="258">
        <f>272548+3280166</f>
        <v>3552714</v>
      </c>
      <c r="H48" s="258">
        <v>0</v>
      </c>
      <c r="I48" s="259">
        <v>274826</v>
      </c>
    </row>
    <row r="49" spans="4:9" x14ac:dyDescent="0.25">
      <c r="D49" s="42">
        <f>D1</f>
        <v>2013</v>
      </c>
      <c r="E49" s="46">
        <f>E4</f>
        <v>1932824.5119999999</v>
      </c>
      <c r="F49" s="101">
        <f>F4</f>
        <v>263558.56800000003</v>
      </c>
      <c r="G49" s="101">
        <f>G4</f>
        <v>2387867.92</v>
      </c>
      <c r="H49" s="101">
        <f>H4</f>
        <v>0</v>
      </c>
      <c r="I49" s="48">
        <f>I4</f>
        <v>352248.73600000003</v>
      </c>
    </row>
  </sheetData>
  <sheetProtection password="F489" sheet="1" objects="1" scenarios="1" selectLockedCells="1"/>
  <mergeCells count="2">
    <mergeCell ref="V3:V4"/>
    <mergeCell ref="V7:Z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&amp;L&amp;F: &amp;A&amp;C&amp;D&amp;RSide &amp;P av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0-Total</vt:lpstr>
      <vt:lpstr>1-Studieplasser</vt:lpstr>
      <vt:lpstr>2-Studiepoeng</vt:lpstr>
      <vt:lpstr>3-Utvekslingsstudenter</vt:lpstr>
      <vt:lpstr>4-Doktorgrader</vt:lpstr>
      <vt:lpstr>5-Stipendiatstillinger</vt:lpstr>
      <vt:lpstr>6-Postdocstillinger</vt:lpstr>
      <vt:lpstr>7-Publikasjonspoeng</vt:lpstr>
      <vt:lpstr>8-EFV</vt:lpstr>
      <vt:lpstr>9-Satsinger</vt:lpstr>
      <vt:lpstr>10-Annet</vt:lpstr>
      <vt:lpstr>'0-Total'!Print_Area</vt:lpstr>
      <vt:lpstr>'10-Annet'!Print_Area</vt:lpstr>
      <vt:lpstr>'1-Studieplasser'!Print_Area</vt:lpstr>
      <vt:lpstr>'2-Studiepoeng'!Print_Area</vt:lpstr>
      <vt:lpstr>'3-Utvekslingsstudenter'!Print_Area</vt:lpstr>
      <vt:lpstr>'4-Doktorgrader'!Print_Area</vt:lpstr>
      <vt:lpstr>'5-Stipendiatstillinger'!Print_Area</vt:lpstr>
      <vt:lpstr>'6-Postdocstillinger'!Print_Area</vt:lpstr>
      <vt:lpstr>'7-Publikasjonspoeng'!Print_Area</vt:lpstr>
      <vt:lpstr>'8-EFV'!Print_Area</vt:lpstr>
      <vt:lpstr>'9-Satsinger'!Print_Area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V Traavik</dc:creator>
  <cp:lastModifiedBy>Jarle V Traavik</cp:lastModifiedBy>
  <cp:lastPrinted>2013-09-17T12:30:16Z</cp:lastPrinted>
  <dcterms:created xsi:type="dcterms:W3CDTF">2013-03-26T13:52:02Z</dcterms:created>
  <dcterms:modified xsi:type="dcterms:W3CDTF">2013-10-10T13:19:15Z</dcterms:modified>
</cp:coreProperties>
</file>