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75" windowWidth="15600" windowHeight="8520"/>
  </bookViews>
  <sheets>
    <sheet name="1. studieår" sheetId="1" r:id="rId1"/>
    <sheet name="2. studieår" sheetId="2" r:id="rId2"/>
    <sheet name="3. studieår" sheetId="3" r:id="rId3"/>
    <sheet name="4. studieår" sheetId="4" r:id="rId4"/>
    <sheet name="Valgemner" sheetId="5" r:id="rId5"/>
    <sheet name="Diverse" sheetId="6" r:id="rId6"/>
    <sheet name="Oppsummering " sheetId="7" r:id="rId7"/>
    <sheet name="Buddyarket" sheetId="8" r:id="rId8"/>
    <sheet name="HUMR" sheetId="9" r:id="rId9"/>
    <sheet name="Ark1" sheetId="10" r:id="rId10"/>
  </sheets>
  <externalReferences>
    <externalReference r:id="rId11"/>
    <externalReference r:id="rId12"/>
  </externalReferences>
  <definedNames>
    <definedName name="_xlnm._FilterDatabase" localSheetId="7" hidden="1">Buddyarket!$A$3:$R$35</definedName>
    <definedName name="_xlnm.Print_Area" localSheetId="7">Buddyarket!$A$1:$O$25</definedName>
    <definedName name="Z_1241DC17_BD41_46C5_9DB1_684763A09F24_.wvu.Cols" localSheetId="0" hidden="1">'1. studieår'!$F:$F,'1. studieår'!$I:$I,'1. studieår'!$M:$M</definedName>
    <definedName name="Z_1241DC17_BD41_46C5_9DB1_684763A09F24_.wvu.Cols" localSheetId="1" hidden="1">'2. studieår'!$G:$G,'2. studieår'!$J:$J,'2. studieår'!$P:$P</definedName>
    <definedName name="Z_1241DC17_BD41_46C5_9DB1_684763A09F24_.wvu.Cols" localSheetId="2" hidden="1">'3. studieår'!$F:$F,'3. studieår'!$I:$I,'3. studieår'!$M:$M</definedName>
    <definedName name="Z_1241DC17_BD41_46C5_9DB1_684763A09F24_.wvu.Cols" localSheetId="3" hidden="1">'4. studieår'!$G:$G,'4. studieår'!$J:$J,'4. studieår'!$Q:$Q</definedName>
    <definedName name="Z_1283C6B5_B05C_447B_8854_CDB081C03FD4_.wvu.Cols" localSheetId="0" hidden="1">'1. studieår'!$F:$F,'1. studieår'!$I:$I,'1. studieår'!$M:$M,'1. studieår'!$AJ:$AK</definedName>
    <definedName name="Z_1283C6B5_B05C_447B_8854_CDB081C03FD4_.wvu.Cols" localSheetId="1" hidden="1">'2. studieår'!$G:$G,'2. studieår'!$J:$J,'2. studieår'!$P:$P</definedName>
    <definedName name="Z_1283C6B5_B05C_447B_8854_CDB081C03FD4_.wvu.Cols" localSheetId="2" hidden="1">'3. studieår'!$F:$F,'3. studieår'!$I:$I,'3. studieår'!$M:$M</definedName>
    <definedName name="Z_1283C6B5_B05C_447B_8854_CDB081C03FD4_.wvu.Cols" localSheetId="3" hidden="1">'4. studieår'!$G:$G,'4. studieår'!$J:$J,'4. studieår'!$O:$Q</definedName>
    <definedName name="Z_1283C6B5_B05C_447B_8854_CDB081C03FD4_.wvu.Cols" localSheetId="4" hidden="1">Valgemner!$K:$K</definedName>
    <definedName name="Z_1283C6B5_B05C_447B_8854_CDB081C03FD4_.wvu.FilterData" localSheetId="7" hidden="1">Buddyarket!$A$3:$R$35</definedName>
    <definedName name="Z_1283C6B5_B05C_447B_8854_CDB081C03FD4_.wvu.PrintArea" localSheetId="7" hidden="1">Buddyarket!$A$1:$O$25</definedName>
    <definedName name="Z_1283C6B5_B05C_447B_8854_CDB081C03FD4_.wvu.Rows" localSheetId="0" hidden="1">'1. studieår'!$21:$21</definedName>
    <definedName name="Z_43EFFC0A_CCC0_43DD_A273_4AF58757EC00_.wvu.Cols" localSheetId="0" hidden="1">'1. studieår'!$F:$F,'1. studieår'!$I:$I,'1. studieår'!$M:$M</definedName>
    <definedName name="Z_43EFFC0A_CCC0_43DD_A273_4AF58757EC00_.wvu.Cols" localSheetId="1" hidden="1">'2. studieår'!$G:$G,'2. studieår'!$J:$J,'2. studieår'!$P:$P</definedName>
    <definedName name="Z_43EFFC0A_CCC0_43DD_A273_4AF58757EC00_.wvu.Cols" localSheetId="2" hidden="1">'3. studieår'!$F:$F,'3. studieår'!$I:$I,'3. studieår'!$M:$M</definedName>
    <definedName name="Z_43EFFC0A_CCC0_43DD_A273_4AF58757EC00_.wvu.Cols" localSheetId="3" hidden="1">'4. studieår'!$G:$G,'4. studieår'!$J:$J,'4. studieår'!$Q:$Q</definedName>
    <definedName name="Z_43EFFC0A_CCC0_43DD_A273_4AF58757EC00_.wvu.FilterData" localSheetId="7" hidden="1">Buddyarket!$A$3:$R$35</definedName>
    <definedName name="Z_43EFFC0A_CCC0_43DD_A273_4AF58757EC00_.wvu.PrintArea" localSheetId="7" hidden="1">Buddyarket!$A$1:$O$25</definedName>
    <definedName name="Z_726FF687_50E0_4F8A_BCCB_6DA9E6D367D4_.wvu.Cols" localSheetId="0" hidden="1">'1. studieår'!$F:$F,'1. studieår'!$I:$I,'1. studieår'!$M:$M</definedName>
    <definedName name="Z_726FF687_50E0_4F8A_BCCB_6DA9E6D367D4_.wvu.Cols" localSheetId="1" hidden="1">'2. studieår'!$G:$G,'2. studieår'!$P:$P</definedName>
    <definedName name="Z_726FF687_50E0_4F8A_BCCB_6DA9E6D367D4_.wvu.Cols" localSheetId="2" hidden="1">'3. studieår'!$F:$F,'3. studieår'!$I:$I,'3. studieår'!$M:$M</definedName>
    <definedName name="Z_726FF687_50E0_4F8A_BCCB_6DA9E6D367D4_.wvu.Cols" localSheetId="3" hidden="1">'4. studieår'!$G:$G,'4. studieår'!$J:$J,'4. studieår'!$Q:$Q</definedName>
    <definedName name="Z_726FF687_50E0_4F8A_BCCB_6DA9E6D367D4_.wvu.PrintArea" localSheetId="7" hidden="1">Buddyarket!$A$1:$O$25</definedName>
    <definedName name="Z_726FF687_50E0_4F8A_BCCB_6DA9E6D367D4_.wvu.Rows" localSheetId="0" hidden="1">'1. studieår'!$4:$4,'1. studieår'!$31:$31</definedName>
    <definedName name="Z_726FF687_50E0_4F8A_BCCB_6DA9E6D367D4_.wvu.Rows" localSheetId="1" hidden="1">'2. studieår'!$36:$36</definedName>
    <definedName name="Z_726FF687_50E0_4F8A_BCCB_6DA9E6D367D4_.wvu.Rows" localSheetId="2" hidden="1">'3. studieår'!$2:$2,'3. studieår'!$36:$36</definedName>
    <definedName name="Z_726FF687_50E0_4F8A_BCCB_6DA9E6D367D4_.wvu.Rows" localSheetId="3" hidden="1">'4. studieår'!$36:$36</definedName>
    <definedName name="Z_749D43A3_052D_442F_AE88_F6CCB83A1282_.wvu.Cols" localSheetId="0" hidden="1">'1. studieår'!$F:$F,'1. studieår'!$I:$I,'1. studieår'!$M:$M</definedName>
    <definedName name="Z_749D43A3_052D_442F_AE88_F6CCB83A1282_.wvu.Cols" localSheetId="1" hidden="1">'2. studieår'!$G:$G,'2. studieår'!$J:$J,'2. studieår'!$P:$P</definedName>
    <definedName name="Z_749D43A3_052D_442F_AE88_F6CCB83A1282_.wvu.Cols" localSheetId="2" hidden="1">'3. studieår'!$F:$F,'3. studieår'!$I:$I,'3. studieår'!$M:$M</definedName>
    <definedName name="Z_749D43A3_052D_442F_AE88_F6CCB83A1282_.wvu.Cols" localSheetId="3" hidden="1">'4. studieår'!$G:$G,'4. studieår'!$J:$J,'4. studieår'!$Q:$Q</definedName>
    <definedName name="Z_749D43A3_052D_442F_AE88_F6CCB83A1282_.wvu.FilterData" localSheetId="7" hidden="1">Buddyarket!$A$3:$R$35</definedName>
    <definedName name="Z_749D43A3_052D_442F_AE88_F6CCB83A1282_.wvu.PrintArea" localSheetId="7" hidden="1">Buddyarket!$A$1:$O$25</definedName>
    <definedName name="Z_7AE955BB_7BF8_4CA4_ABF1_6A0BB53A48AD_.wvu.Cols" localSheetId="0" hidden="1">'1. studieår'!$F:$F,'1. studieår'!$I:$I,'1. studieår'!$M:$M</definedName>
    <definedName name="Z_7AE955BB_7BF8_4CA4_ABF1_6A0BB53A48AD_.wvu.Cols" localSheetId="1" hidden="1">'2. studieår'!$G:$G,'2. studieår'!$P:$P</definedName>
    <definedName name="Z_7AE955BB_7BF8_4CA4_ABF1_6A0BB53A48AD_.wvu.Cols" localSheetId="2" hidden="1">'3. studieår'!$F:$F,'3. studieår'!$I:$I,'3. studieår'!$M:$M</definedName>
    <definedName name="Z_7AE955BB_7BF8_4CA4_ABF1_6A0BB53A48AD_.wvu.Cols" localSheetId="3" hidden="1">'4. studieår'!$G:$G,'4. studieår'!$J:$J,'4. studieår'!$Q:$Q</definedName>
    <definedName name="Z_7AE955BB_7BF8_4CA4_ABF1_6A0BB53A48AD_.wvu.PrintArea" localSheetId="7" hidden="1">Buddyarket!$A$1:$O$25</definedName>
    <definedName name="Z_7AE955BB_7BF8_4CA4_ABF1_6A0BB53A48AD_.wvu.Rows" localSheetId="0" hidden="1">'1. studieår'!$4:$4,'1. studieår'!$31:$31</definedName>
    <definedName name="Z_7AE955BB_7BF8_4CA4_ABF1_6A0BB53A48AD_.wvu.Rows" localSheetId="1" hidden="1">'2. studieår'!$36:$36</definedName>
    <definedName name="Z_7AE955BB_7BF8_4CA4_ABF1_6A0BB53A48AD_.wvu.Rows" localSheetId="2" hidden="1">'3. studieår'!$2:$2,'3. studieår'!$36:$36</definedName>
    <definedName name="Z_7AE955BB_7BF8_4CA4_ABF1_6A0BB53A48AD_.wvu.Rows" localSheetId="3" hidden="1">'4. studieår'!$36:$36</definedName>
    <definedName name="Z_83C69039_3E29_46E1_85FB_B9165E0BFA91_.wvu.Cols" localSheetId="0" hidden="1">'1. studieår'!$F:$F,'1. studieår'!$I:$I,'1. studieår'!$M:$M</definedName>
    <definedName name="Z_83C69039_3E29_46E1_85FB_B9165E0BFA91_.wvu.Cols" localSheetId="1" hidden="1">'2. studieår'!$G:$G,'2. studieår'!$J:$J,'2. studieår'!$P:$P</definedName>
    <definedName name="Z_83C69039_3E29_46E1_85FB_B9165E0BFA91_.wvu.Cols" localSheetId="2" hidden="1">'3. studieår'!$F:$F,'3. studieår'!$I:$I,'3. studieår'!$M:$M</definedName>
    <definedName name="Z_83C69039_3E29_46E1_85FB_B9165E0BFA91_.wvu.Cols" localSheetId="3" hidden="1">'4. studieår'!$G:$G,'4. studieår'!$J:$J,'4. studieår'!$Q:$Q</definedName>
    <definedName name="Z_83C69039_3E29_46E1_85FB_B9165E0BFA91_.wvu.FilterData" localSheetId="7" hidden="1">Buddyarket!$A$3:$R$35</definedName>
    <definedName name="Z_91227156_ECBD_48FD_8964_78F3608400FC_.wvu.Cols" localSheetId="0" hidden="1">'1. studieår'!$F:$F,'1. studieår'!$I:$I,'1. studieår'!$M:$M</definedName>
    <definedName name="Z_91227156_ECBD_48FD_8964_78F3608400FC_.wvu.Cols" localSheetId="1" hidden="1">'2. studieår'!$G:$G,'2. studieår'!$P:$P</definedName>
    <definedName name="Z_91227156_ECBD_48FD_8964_78F3608400FC_.wvu.Cols" localSheetId="2" hidden="1">'3. studieår'!$F:$F,'3. studieår'!$I:$I,'3. studieår'!$M:$M</definedName>
    <definedName name="Z_91227156_ECBD_48FD_8964_78F3608400FC_.wvu.Cols" localSheetId="3" hidden="1">'4. studieår'!$G:$G,'4. studieår'!$J:$J,'4. studieår'!$Q:$Q</definedName>
    <definedName name="Z_91227156_ECBD_48FD_8964_78F3608400FC_.wvu.PrintArea" localSheetId="7" hidden="1">Buddyarket!$A$1:$O$25</definedName>
    <definedName name="Z_91227156_ECBD_48FD_8964_78F3608400FC_.wvu.Rows" localSheetId="0" hidden="1">'1. studieår'!$4:$4,'1. studieår'!$31:$31</definedName>
    <definedName name="Z_91227156_ECBD_48FD_8964_78F3608400FC_.wvu.Rows" localSheetId="1" hidden="1">'2. studieår'!$36:$36</definedName>
    <definedName name="Z_91227156_ECBD_48FD_8964_78F3608400FC_.wvu.Rows" localSheetId="2" hidden="1">'3. studieår'!$2:$2,'3. studieår'!$36:$36</definedName>
    <definedName name="Z_91227156_ECBD_48FD_8964_78F3608400FC_.wvu.Rows" localSheetId="3" hidden="1">'4. studieår'!$36:$36</definedName>
    <definedName name="Z_96F3D653_3E18_45D1_BCF3_9480EFDD711C_.wvu.PrintArea" localSheetId="6" hidden="1">'Oppsummering '!$A$1:$I$35</definedName>
    <definedName name="Z_B76C0EA9_E79B_4DA2_9ADE_66DB47109F8F_.wvu.Cols" localSheetId="0" hidden="1">'1. studieår'!$F:$F,'1. studieår'!$I:$I,'1. studieår'!$M:$M</definedName>
    <definedName name="Z_B76C0EA9_E79B_4DA2_9ADE_66DB47109F8F_.wvu.Cols" localSheetId="1" hidden="1">'2. studieår'!$G:$G,'2. studieår'!$P:$P</definedName>
    <definedName name="Z_B76C0EA9_E79B_4DA2_9ADE_66DB47109F8F_.wvu.Cols" localSheetId="2" hidden="1">'3. studieår'!$F:$F,'3. studieår'!$I:$I,'3. studieår'!$M:$M</definedName>
    <definedName name="Z_B76C0EA9_E79B_4DA2_9ADE_66DB47109F8F_.wvu.Cols" localSheetId="3" hidden="1">'4. studieår'!$G:$G,'4. studieår'!$J:$J,'4. studieår'!$Q:$Q</definedName>
    <definedName name="Z_B76C0EA9_E79B_4DA2_9ADE_66DB47109F8F_.wvu.PrintArea" localSheetId="7" hidden="1">Buddyarket!$A$1:$O$25</definedName>
    <definedName name="Z_B76C0EA9_E79B_4DA2_9ADE_66DB47109F8F_.wvu.Rows" localSheetId="0" hidden="1">'1. studieår'!$4:$4,'1. studieår'!$31:$31</definedName>
    <definedName name="Z_B76C0EA9_E79B_4DA2_9ADE_66DB47109F8F_.wvu.Rows" localSheetId="1" hidden="1">'2. studieår'!$36:$36</definedName>
    <definedName name="Z_B76C0EA9_E79B_4DA2_9ADE_66DB47109F8F_.wvu.Rows" localSheetId="2" hidden="1">'3. studieår'!$2:$2,'3. studieår'!$36:$36</definedName>
    <definedName name="Z_B76C0EA9_E79B_4DA2_9ADE_66DB47109F8F_.wvu.Rows" localSheetId="3" hidden="1">'4. studieår'!$36:$36</definedName>
    <definedName name="Z_BB9ED292_532F_438C_A4A6_F8D66D70E0E7_.wvu.Cols" localSheetId="0" hidden="1">'1. studieår'!$F:$F,'1. studieår'!$I:$I,'1. studieår'!$M:$M</definedName>
    <definedName name="Z_BB9ED292_532F_438C_A4A6_F8D66D70E0E7_.wvu.Cols" localSheetId="1" hidden="1">'2. studieår'!$G:$G,'2. studieår'!$P:$P</definedName>
    <definedName name="Z_BB9ED292_532F_438C_A4A6_F8D66D70E0E7_.wvu.Cols" localSheetId="2" hidden="1">'3. studieår'!$F:$F,'3. studieår'!$I:$I,'3. studieår'!$M:$M</definedName>
    <definedName name="Z_BB9ED292_532F_438C_A4A6_F8D66D70E0E7_.wvu.Cols" localSheetId="3" hidden="1">'4. studieår'!$G:$G,'4. studieår'!$J:$J,'4. studieår'!$Q:$Q</definedName>
    <definedName name="Z_BB9ED292_532F_438C_A4A6_F8D66D70E0E7_.wvu.PrintArea" localSheetId="7" hidden="1">Buddyarket!$A$1:$O$25</definedName>
    <definedName name="Z_BB9ED292_532F_438C_A4A6_F8D66D70E0E7_.wvu.Rows" localSheetId="0" hidden="1">'1. studieår'!$4:$4,'1. studieår'!$31:$31</definedName>
    <definedName name="Z_BB9ED292_532F_438C_A4A6_F8D66D70E0E7_.wvu.Rows" localSheetId="1" hidden="1">'2. studieår'!$36:$36</definedName>
    <definedName name="Z_BB9ED292_532F_438C_A4A6_F8D66D70E0E7_.wvu.Rows" localSheetId="2" hidden="1">'3. studieår'!$2:$2,'3. studieår'!$36:$36</definedName>
    <definedName name="Z_BB9ED292_532F_438C_A4A6_F8D66D70E0E7_.wvu.Rows" localSheetId="3" hidden="1">'4. studieår'!$36:$36</definedName>
    <definedName name="Z_C1FECEF4_D739_4F39_9B89_CF4C04A77A9B_.wvu.Cols" localSheetId="0" hidden="1">'1. studieår'!$F:$F,'1. studieår'!$I:$I,'1. studieår'!$M:$M</definedName>
    <definedName name="Z_C1FECEF4_D739_4F39_9B89_CF4C04A77A9B_.wvu.Cols" localSheetId="1" hidden="1">'2. studieår'!$G:$G,'2. studieår'!$P:$P</definedName>
    <definedName name="Z_C1FECEF4_D739_4F39_9B89_CF4C04A77A9B_.wvu.Cols" localSheetId="2" hidden="1">'3. studieår'!$F:$F,'3. studieår'!$I:$I,'3. studieår'!$M:$M</definedName>
    <definedName name="Z_C1FECEF4_D739_4F39_9B89_CF4C04A77A9B_.wvu.Cols" localSheetId="3" hidden="1">'4. studieår'!$G:$G,'4. studieår'!$J:$J,'4. studieår'!$Q:$Q</definedName>
    <definedName name="Z_C1FECEF4_D739_4F39_9B89_CF4C04A77A9B_.wvu.PrintArea" localSheetId="7" hidden="1">Buddyarket!$A$1:$O$25</definedName>
    <definedName name="Z_C1FECEF4_D739_4F39_9B89_CF4C04A77A9B_.wvu.Rows" localSheetId="0" hidden="1">'1. studieår'!$4:$4,'1. studieår'!$31:$31</definedName>
    <definedName name="Z_C1FECEF4_D739_4F39_9B89_CF4C04A77A9B_.wvu.Rows" localSheetId="1" hidden="1">'2. studieår'!$36:$36</definedName>
    <definedName name="Z_C1FECEF4_D739_4F39_9B89_CF4C04A77A9B_.wvu.Rows" localSheetId="2" hidden="1">'3. studieår'!$2:$2,'3. studieår'!$36:$36</definedName>
    <definedName name="Z_C1FECEF4_D739_4F39_9B89_CF4C04A77A9B_.wvu.Rows" localSheetId="3" hidden="1">'4. studieår'!$36:$36</definedName>
    <definedName name="Z_CB7E9FB3_C7A3_44DE_98E4_19C23B487785_.wvu.Cols" localSheetId="0" hidden="1">'1. studieår'!$F:$F,'1. studieår'!$I:$I,'1. studieår'!$M:$M,'1. studieår'!$AJ:$AK</definedName>
    <definedName name="Z_CB7E9FB3_C7A3_44DE_98E4_19C23B487785_.wvu.Cols" localSheetId="1" hidden="1">'2. studieår'!$G:$G,'2. studieår'!$J:$J,'2. studieår'!$P:$P</definedName>
    <definedName name="Z_CB7E9FB3_C7A3_44DE_98E4_19C23B487785_.wvu.Cols" localSheetId="2" hidden="1">'3. studieår'!$F:$F,'3. studieår'!$I:$I,'3. studieår'!$M:$M</definedName>
    <definedName name="Z_CB7E9FB3_C7A3_44DE_98E4_19C23B487785_.wvu.Cols" localSheetId="3" hidden="1">'4. studieår'!$G:$G,'4. studieår'!$J:$J,'4. studieår'!$O:$Q</definedName>
    <definedName name="Z_CB7E9FB3_C7A3_44DE_98E4_19C23B487785_.wvu.Cols" localSheetId="4" hidden="1">Valgemner!$K:$K</definedName>
    <definedName name="Z_CB7E9FB3_C7A3_44DE_98E4_19C23B487785_.wvu.FilterData" localSheetId="7" hidden="1">Buddyarket!$A$3:$R$35</definedName>
    <definedName name="Z_CB7E9FB3_C7A3_44DE_98E4_19C23B487785_.wvu.PrintArea" localSheetId="7" hidden="1">Buddyarket!$A$1:$O$25</definedName>
    <definedName name="Z_CB7E9FB3_C7A3_44DE_98E4_19C23B487785_.wvu.Rows" localSheetId="0" hidden="1">'1. studieår'!$21:$21</definedName>
    <definedName name="Z_E5349645_7714_4437_B9BC_26ED822E5BC5_.wvu.Cols" localSheetId="0" hidden="1">'1. studieår'!$F:$F,'1. studieår'!$I:$I,'1. studieår'!$M:$M</definedName>
    <definedName name="Z_E5349645_7714_4437_B9BC_26ED822E5BC5_.wvu.Cols" localSheetId="1" hidden="1">'2. studieår'!$G:$G,'2. studieår'!$J:$J,'2. studieår'!$P:$P</definedName>
    <definedName name="Z_E5349645_7714_4437_B9BC_26ED822E5BC5_.wvu.Cols" localSheetId="2" hidden="1">'3. studieår'!$F:$F,'3. studieår'!$I:$I,'3. studieår'!$M:$M</definedName>
    <definedName name="Z_E5349645_7714_4437_B9BC_26ED822E5BC5_.wvu.Cols" localSheetId="3" hidden="1">'4. studieår'!$G:$G,'4. studieår'!$J:$J,'4. studieår'!$Q:$Q</definedName>
    <definedName name="Z_E5349645_7714_4437_B9BC_26ED822E5BC5_.wvu.FilterData" localSheetId="7" hidden="1">Buddyarket!$A$3:$R$35</definedName>
    <definedName name="Z_E5349645_7714_4437_B9BC_26ED822E5BC5_.wvu.PrintArea" localSheetId="7" hidden="1">Buddyarket!$A$1:$O$25</definedName>
    <definedName name="Z_F38A39FA_EF57_4062_A2AD_F3BEB88C5762_.wvu.Cols" localSheetId="0" hidden="1">'1. studieår'!$F:$F,'1. studieår'!$I:$I,'1. studieår'!$M:$M</definedName>
    <definedName name="Z_F38A39FA_EF57_4062_A2AD_F3BEB88C5762_.wvu.Cols" localSheetId="1" hidden="1">'2. studieår'!$G:$G,'2. studieår'!$J:$J,'2. studieår'!$P:$P</definedName>
    <definedName name="Z_F38A39FA_EF57_4062_A2AD_F3BEB88C5762_.wvu.Cols" localSheetId="2" hidden="1">'3. studieår'!$F:$F,'3. studieår'!$I:$I,'3. studieår'!$M:$M</definedName>
    <definedName name="Z_F38A39FA_EF57_4062_A2AD_F3BEB88C5762_.wvu.Cols" localSheetId="3" hidden="1">'4. studieår'!$G:$G,'4. studieår'!$J:$J,'4. studieår'!$Q:$Q</definedName>
    <definedName name="Z_F38A39FA_EF57_4062_A2AD_F3BEB88C5762_.wvu.FilterData" localSheetId="7" hidden="1">Buddyarket!$A$3:$R$35</definedName>
    <definedName name="Z_F38A39FA_EF57_4062_A2AD_F3BEB88C5762_.wvu.PrintArea" localSheetId="7" hidden="1">Buddyarket!$A$1:$O$25</definedName>
  </definedNames>
  <calcPr calcId="145621"/>
  <customWorkbookViews>
    <customWorkbookView name="Elisabeth Ulleberg - Personal View" guid="{749D43A3-052D-442F-AE88-F6CCB83A1282}" mergeInterval="0" personalView="1" maximized="1" windowWidth="1276" windowHeight="575" activeSheetId="2"/>
    <customWorkbookView name="Fredrikke Holt Kleivane - Personal View" guid="{E5349645-7714-4437-B9BC-26ED822E5BC5}" mergeInterval="0" personalView="1" maximized="1" windowWidth="1920" windowHeight="975" activeSheetId="4"/>
    <customWorkbookView name="&quot;lilliaal&quot; - Personal View" guid="{F38A39FA-EF57-4062-A2AD-F3BEB88C5762}" mergeInterval="0" personalView="1" maximized="1" windowWidth="1362" windowHeight="488" activeSheetId="2"/>
    <customWorkbookView name="Lillian M. Stang Almaas - Personal View" guid="{83C69039-3E29-46E1-85FB-B9165E0BFA91}" mergeInterval="0" personalView="1" maximized="1" windowWidth="1920" windowHeight="994" activeSheetId="2"/>
    <customWorkbookView name="Elisabeth Reien - Personal View" guid="{C1FECEF4-D739-4F39-9B89-CF4C04A77A9B}" mergeInterval="0" personalView="1" maximized="1" windowWidth="1920" windowHeight="1063" activeSheetId="5"/>
    <customWorkbookView name="Nina Lofstad - Personlig visning" guid="{1241DC17-BD41-46C5-9DB1-684763A09F24}" mergeInterval="0" personalView="1" maximized="1" windowWidth="1920" windowHeight="980" activeSheetId="3"/>
    <customWorkbookView name="tronsk - Personal View" guid="{91227156-ECBD-48FD-8964-78F3608400FC}" mergeInterval="0" personalView="1" maximized="1" xWindow="1" yWindow="1" windowWidth="1020" windowHeight="496" activeSheetId="7"/>
    <customWorkbookView name="Karoline Stensvik - Personal View" guid="{B76C0EA9-E79B-4DA2-9ADE-66DB47109F8F}" mergeInterval="0" personalView="1" maximized="1" windowWidth="1920" windowHeight="975" activeSheetId="4"/>
    <customWorkbookView name="Maria Haldeaki - Personal View" guid="{726FF687-50E0-4F8A-BCCB-6DA9E6D367D4}" mergeInterval="0" personalView="1" maximized="1" windowWidth="1920" windowHeight="1043" activeSheetId="1"/>
    <customWorkbookView name="Anne-Brit Strandset - Personal View" guid="{BB9ED292-532F-438C-A4A6-F8D66D70E0E7}" mergeInterval="0" personalView="1" maximized="1" windowWidth="1920" windowHeight="821" activeSheetId="5"/>
    <customWorkbookView name="Morten Slind Olsen - Personal View" guid="{7AE955BB-7BF8-4CA4-ABF1-6A0BB53A48AD}" mergeInterval="0" personalView="1" maximized="1" windowWidth="1920" windowHeight="975" activeSheetId="5"/>
    <customWorkbookView name="Nina Lofstad - Personal View" guid="{43EFFC0A-CCC0-43DD-A273-4AF58757EC00}" mergeInterval="0" personalView="1" maximized="1" windowWidth="1920" windowHeight="974" activeSheetId="3"/>
    <customWorkbookView name="Julie Orning - Personal View" guid="{1283C6B5-B05C-447B-8854-CDB081C03FD4}" mergeInterval="0" personalView="1" maximized="1" windowWidth="1920" windowHeight="1063" activeSheetId="6"/>
    <customWorkbookView name="Trond Skjeie - Personlig visning" guid="{CB7E9FB3-C7A3-44DE-98E4-19C23B487785}" mergeInterval="0" personalView="1" maximized="1" windowWidth="1916" windowHeight="831" activeSheetId="3"/>
  </customWorkbookViews>
</workbook>
</file>

<file path=xl/calcChain.xml><?xml version="1.0" encoding="utf-8"?>
<calcChain xmlns="http://schemas.openxmlformats.org/spreadsheetml/2006/main">
  <c r="B4" i="7" l="1"/>
  <c r="I7" i="7" l="1"/>
  <c r="I6" i="7"/>
  <c r="I5" i="7"/>
  <c r="I4" i="7"/>
  <c r="I3" i="7"/>
  <c r="D16" i="7"/>
  <c r="C11" i="6"/>
  <c r="AB17" i="3" l="1"/>
  <c r="AB16" i="3"/>
  <c r="AB15" i="3"/>
  <c r="AA15" i="3" l="1"/>
  <c r="C8" i="6" l="1"/>
  <c r="AH32" i="4" l="1"/>
  <c r="AE32" i="4"/>
  <c r="AI33" i="4"/>
  <c r="AH33" i="4"/>
  <c r="AG33" i="4"/>
  <c r="AE33" i="4"/>
  <c r="AH27" i="3"/>
  <c r="AH28" i="3"/>
  <c r="AG29" i="2"/>
  <c r="AE25" i="1"/>
  <c r="AE24" i="1"/>
  <c r="B12" i="7" l="1"/>
  <c r="B17" i="6"/>
  <c r="E17" i="6"/>
  <c r="F21" i="6"/>
  <c r="AJ30" i="4"/>
  <c r="AJ29" i="4"/>
  <c r="AJ28" i="4"/>
  <c r="AJ27" i="4"/>
  <c r="AJ26" i="4"/>
  <c r="AJ25" i="4"/>
  <c r="AJ23" i="4"/>
  <c r="AJ22" i="4"/>
  <c r="AJ21" i="4"/>
  <c r="AJ17" i="4"/>
  <c r="AJ16" i="4"/>
  <c r="AJ15" i="4"/>
  <c r="AJ14" i="4"/>
  <c r="AJ13" i="4"/>
  <c r="AJ12" i="4"/>
  <c r="AJ10" i="4"/>
  <c r="AJ11" i="4"/>
  <c r="AF30" i="4"/>
  <c r="AF29" i="4"/>
  <c r="AF28" i="4"/>
  <c r="AF27" i="4"/>
  <c r="AF25" i="4"/>
  <c r="AF22" i="4"/>
  <c r="AF21" i="4"/>
  <c r="AF17" i="4"/>
  <c r="AF16" i="4"/>
  <c r="AF15" i="4"/>
  <c r="AF13" i="4"/>
  <c r="AG23" i="4"/>
  <c r="AG30" i="4"/>
  <c r="AG29" i="4"/>
  <c r="AG28" i="4"/>
  <c r="AG27" i="4"/>
  <c r="AG26" i="4"/>
  <c r="AG25" i="4"/>
  <c r="AG22" i="4"/>
  <c r="AG21" i="4"/>
  <c r="AG17" i="4"/>
  <c r="AG16" i="4"/>
  <c r="AG15" i="4"/>
  <c r="AG14" i="4"/>
  <c r="AG13" i="4"/>
  <c r="AG12" i="4"/>
  <c r="AG11" i="4"/>
  <c r="AG10" i="4"/>
  <c r="AG25" i="3"/>
  <c r="AF25" i="3" s="1"/>
  <c r="AG23" i="3"/>
  <c r="AG22" i="3"/>
  <c r="AG21" i="3"/>
  <c r="AG17" i="3"/>
  <c r="AG16" i="3"/>
  <c r="AG15" i="3"/>
  <c r="AG13" i="3"/>
  <c r="AG12" i="3"/>
  <c r="AF12" i="3" s="1"/>
  <c r="AG9" i="3"/>
  <c r="AG10" i="3"/>
  <c r="AG11" i="3"/>
  <c r="AK11" i="2"/>
  <c r="AJ11" i="2" s="1"/>
  <c r="AI15" i="2"/>
  <c r="AH15" i="2" s="1"/>
  <c r="AI7" i="2"/>
  <c r="AF23" i="1"/>
  <c r="AG22" i="1"/>
  <c r="AF22" i="1" s="1"/>
  <c r="AF24" i="1" s="1"/>
  <c r="AG20" i="1"/>
  <c r="AF20" i="1" s="1"/>
  <c r="AG19" i="1"/>
  <c r="AG18" i="1"/>
  <c r="AG17" i="1"/>
  <c r="AF17" i="1" s="1"/>
  <c r="AG14" i="1"/>
  <c r="AF14" i="1" s="1"/>
  <c r="AG13" i="1"/>
  <c r="AF12" i="1"/>
  <c r="AF10" i="1"/>
  <c r="AG12" i="1"/>
  <c r="AG10" i="1"/>
  <c r="E92" i="5" l="1"/>
  <c r="D92" i="5"/>
  <c r="AJ14" i="3" l="1"/>
  <c r="AJ28" i="3" l="1"/>
  <c r="AJ27" i="3"/>
  <c r="J52" i="5"/>
  <c r="K52" i="5"/>
  <c r="J53" i="5"/>
  <c r="K53" i="5"/>
  <c r="J54" i="5"/>
  <c r="K54" i="5"/>
  <c r="J55" i="5"/>
  <c r="K55" i="5"/>
  <c r="F55" i="5"/>
  <c r="G55" i="5" s="1"/>
  <c r="F54" i="5"/>
  <c r="G54" i="5" s="1"/>
  <c r="F53" i="5"/>
  <c r="G53" i="5" s="1"/>
  <c r="F52" i="5"/>
  <c r="G52" i="5" s="1"/>
  <c r="C55" i="5"/>
  <c r="C54" i="5"/>
  <c r="C53" i="5"/>
  <c r="C52" i="5"/>
  <c r="E94" i="5" l="1"/>
  <c r="F93" i="5"/>
  <c r="G93" i="5" s="1"/>
  <c r="F92" i="5"/>
  <c r="G92" i="5" s="1"/>
  <c r="AK10" i="2" l="1"/>
  <c r="AJ10" i="2" s="1"/>
  <c r="AK12" i="2"/>
  <c r="AJ12" i="2" s="1"/>
  <c r="AK13" i="2"/>
  <c r="AJ13" i="2" s="1"/>
  <c r="AK14" i="2"/>
  <c r="AJ14" i="2" s="1"/>
  <c r="AK15" i="2"/>
  <c r="AJ15" i="2" s="1"/>
  <c r="AK16" i="2"/>
  <c r="AK17" i="2"/>
  <c r="AK18" i="2"/>
  <c r="AK19" i="2"/>
  <c r="AJ19" i="2" s="1"/>
  <c r="AK20" i="2"/>
  <c r="AJ20" i="2" s="1"/>
  <c r="AK21" i="2"/>
  <c r="AJ21" i="2" s="1"/>
  <c r="AK22" i="2"/>
  <c r="AJ22" i="2" s="1"/>
  <c r="AK23" i="2"/>
  <c r="AJ23" i="2" s="1"/>
  <c r="AK24" i="2"/>
  <c r="AJ24" i="2" s="1"/>
  <c r="AK25" i="2"/>
  <c r="AJ25" i="2" s="1"/>
  <c r="AK26" i="2"/>
  <c r="AJ26" i="2" s="1"/>
  <c r="AK7" i="2"/>
  <c r="AJ7" i="2" s="1"/>
  <c r="AC15" i="2"/>
  <c r="AC14" i="2"/>
  <c r="Z15" i="2"/>
  <c r="U15" i="2"/>
  <c r="T15" i="2"/>
  <c r="AJ29" i="2" l="1"/>
  <c r="V15" i="2"/>
  <c r="W15" i="2" s="1"/>
  <c r="F15" i="7" l="1"/>
  <c r="G15" i="7" s="1"/>
  <c r="F14" i="7"/>
  <c r="G14" i="7" s="1"/>
  <c r="F13" i="7"/>
  <c r="F12" i="7"/>
  <c r="F11" i="7"/>
  <c r="F10" i="7"/>
  <c r="G10" i="7" s="1"/>
  <c r="F9" i="7"/>
  <c r="F7" i="7"/>
  <c r="F6" i="7"/>
  <c r="F5" i="7"/>
  <c r="F4" i="7"/>
  <c r="F3" i="7"/>
  <c r="F17" i="7" l="1"/>
  <c r="AI25" i="2"/>
  <c r="AH25" i="2" s="1"/>
  <c r="AI24" i="2"/>
  <c r="AI20" i="2"/>
  <c r="AI19" i="2"/>
  <c r="AI14" i="2"/>
  <c r="AH14" i="2" s="1"/>
  <c r="AI12" i="2"/>
  <c r="AI11" i="2"/>
  <c r="AI10" i="2"/>
  <c r="R10" i="4" l="1"/>
  <c r="D13" i="7" l="1"/>
  <c r="J36" i="9" l="1"/>
  <c r="H36" i="9"/>
  <c r="G36" i="9"/>
  <c r="F36" i="9"/>
  <c r="E36" i="9"/>
  <c r="D36" i="9"/>
  <c r="C36" i="9"/>
  <c r="B36" i="9"/>
  <c r="E16" i="6"/>
  <c r="AB19" i="4"/>
  <c r="AA30" i="4"/>
  <c r="AA29" i="4"/>
  <c r="AA28" i="4"/>
  <c r="AA27" i="4"/>
  <c r="AA26" i="4"/>
  <c r="AA25" i="4"/>
  <c r="AA24" i="4"/>
  <c r="AA23" i="4"/>
  <c r="AA22" i="4"/>
  <c r="AA21" i="4"/>
  <c r="AA18" i="4"/>
  <c r="AA17" i="4"/>
  <c r="AA16" i="4"/>
  <c r="AA15" i="4"/>
  <c r="AA14" i="4"/>
  <c r="AA13" i="4"/>
  <c r="AA12" i="4"/>
  <c r="AA11" i="4"/>
  <c r="AA10" i="4"/>
  <c r="AA32" i="4" l="1"/>
  <c r="G13" i="7"/>
  <c r="G12" i="7"/>
  <c r="G11" i="7"/>
  <c r="G9" i="7"/>
  <c r="G7" i="7"/>
  <c r="G6" i="7"/>
  <c r="G5" i="7"/>
  <c r="G4" i="7"/>
  <c r="G3" i="7"/>
  <c r="X17" i="4"/>
  <c r="R17" i="4"/>
  <c r="P17" i="4"/>
  <c r="S17" i="4" s="1"/>
  <c r="G17" i="7" l="1"/>
  <c r="T17" i="4"/>
  <c r="AB17" i="4" s="1"/>
  <c r="AG31" i="4"/>
  <c r="AF31" i="4" s="1"/>
  <c r="AJ24" i="4"/>
  <c r="AJ20" i="4"/>
  <c r="AJ19" i="4"/>
  <c r="L24" i="1"/>
  <c r="O24" i="1"/>
  <c r="AG21" i="1"/>
  <c r="AF21" i="1" s="1"/>
  <c r="U17" i="4" l="1"/>
  <c r="F68" i="5"/>
  <c r="G68" i="5"/>
  <c r="C68" i="5"/>
  <c r="C90" i="5" l="1"/>
  <c r="F90" i="5"/>
  <c r="G90" i="5" s="1"/>
  <c r="J90" i="5"/>
  <c r="F91" i="5"/>
  <c r="G91" i="5"/>
  <c r="C91" i="5"/>
  <c r="AC20" i="2" l="1"/>
  <c r="AC21" i="2"/>
  <c r="AC22" i="2"/>
  <c r="AC23" i="2"/>
  <c r="AC24" i="2"/>
  <c r="AC26" i="2"/>
  <c r="AC19" i="2"/>
  <c r="AC11" i="2"/>
  <c r="AC12" i="2"/>
  <c r="AC13" i="2"/>
  <c r="AC10" i="2"/>
  <c r="AC7" i="2"/>
  <c r="Z20" i="2"/>
  <c r="Z21" i="2"/>
  <c r="Z22" i="2"/>
  <c r="Z23" i="2"/>
  <c r="Z24" i="2"/>
  <c r="Z26" i="2"/>
  <c r="Z19" i="2"/>
  <c r="Z11" i="2"/>
  <c r="Z12" i="2"/>
  <c r="Z13" i="2"/>
  <c r="Z14" i="2"/>
  <c r="Z10" i="2"/>
  <c r="Z7" i="2"/>
  <c r="AA13" i="1"/>
  <c r="AA14" i="1"/>
  <c r="AA17" i="1"/>
  <c r="AA18" i="1"/>
  <c r="AA19" i="1"/>
  <c r="AA20" i="1"/>
  <c r="AA21" i="1"/>
  <c r="AA22" i="1"/>
  <c r="AA12" i="1"/>
  <c r="X13" i="1"/>
  <c r="X14" i="1"/>
  <c r="X17" i="1"/>
  <c r="X18" i="1"/>
  <c r="X19" i="1"/>
  <c r="X20" i="1"/>
  <c r="X21" i="1"/>
  <c r="X22" i="1"/>
  <c r="X12" i="1"/>
  <c r="F20" i="6"/>
  <c r="R30" i="4"/>
  <c r="S29" i="4"/>
  <c r="R29" i="4"/>
  <c r="S28" i="4"/>
  <c r="R28" i="4"/>
  <c r="R27" i="4"/>
  <c r="R26" i="4"/>
  <c r="S25" i="4"/>
  <c r="R25" i="4"/>
  <c r="R23" i="4"/>
  <c r="S22" i="4"/>
  <c r="R22" i="4"/>
  <c r="R21" i="4"/>
  <c r="X15" i="3"/>
  <c r="X16" i="3"/>
  <c r="X17" i="3"/>
  <c r="R15" i="3"/>
  <c r="S15" i="3"/>
  <c r="R16" i="3"/>
  <c r="S16" i="3"/>
  <c r="R17" i="3"/>
  <c r="S17" i="3"/>
  <c r="T24" i="2"/>
  <c r="U24" i="2"/>
  <c r="U14" i="2"/>
  <c r="T14" i="2"/>
  <c r="X30" i="4"/>
  <c r="X29" i="4"/>
  <c r="X28" i="4"/>
  <c r="X27" i="4"/>
  <c r="X26" i="4"/>
  <c r="X25" i="4"/>
  <c r="X24" i="4"/>
  <c r="AB24" i="4" s="1"/>
  <c r="X23" i="4"/>
  <c r="X22" i="4"/>
  <c r="X21" i="4"/>
  <c r="X11" i="4"/>
  <c r="X12" i="4"/>
  <c r="X13" i="4"/>
  <c r="X14" i="4"/>
  <c r="X15" i="4"/>
  <c r="X16" i="4"/>
  <c r="X18" i="4"/>
  <c r="AB18" i="4" s="1"/>
  <c r="X10" i="4"/>
  <c r="L17" i="8"/>
  <c r="Z27" i="3"/>
  <c r="Y27" i="3"/>
  <c r="W27" i="3"/>
  <c r="V27" i="3"/>
  <c r="G27" i="3"/>
  <c r="F27" i="3"/>
  <c r="E27" i="3"/>
  <c r="D27" i="3"/>
  <c r="AA25" i="3"/>
  <c r="X25" i="3"/>
  <c r="S25" i="3"/>
  <c r="R25" i="3"/>
  <c r="M25" i="3"/>
  <c r="AA24" i="3"/>
  <c r="X24" i="3"/>
  <c r="S24" i="3"/>
  <c r="R24" i="3"/>
  <c r="AA23" i="3"/>
  <c r="X23" i="3"/>
  <c r="S23" i="3"/>
  <c r="R23" i="3"/>
  <c r="M23" i="3"/>
  <c r="C23" i="3"/>
  <c r="AA22" i="3"/>
  <c r="X22" i="3"/>
  <c r="S22" i="3"/>
  <c r="R22" i="3"/>
  <c r="M22" i="3"/>
  <c r="C22" i="3"/>
  <c r="AA21" i="3"/>
  <c r="X21" i="3"/>
  <c r="S21" i="3"/>
  <c r="R21" i="3"/>
  <c r="M21" i="3"/>
  <c r="C21" i="3"/>
  <c r="AA20" i="3"/>
  <c r="X20" i="3"/>
  <c r="S20" i="3"/>
  <c r="R20" i="3"/>
  <c r="C20" i="3"/>
  <c r="AE21" i="3"/>
  <c r="AA19" i="3"/>
  <c r="X19" i="3"/>
  <c r="S19" i="3"/>
  <c r="R19" i="3"/>
  <c r="L19" i="8"/>
  <c r="AE16" i="3"/>
  <c r="AA14" i="3"/>
  <c r="X14" i="3"/>
  <c r="S14" i="3"/>
  <c r="R14" i="3"/>
  <c r="AE15" i="3"/>
  <c r="AA13" i="3"/>
  <c r="X13" i="3"/>
  <c r="S13" i="3"/>
  <c r="R13" i="3"/>
  <c r="M13" i="3"/>
  <c r="C13" i="3"/>
  <c r="AA12" i="3"/>
  <c r="X12" i="3"/>
  <c r="S12" i="3"/>
  <c r="R12" i="3"/>
  <c r="M12" i="3"/>
  <c r="C12" i="3"/>
  <c r="AA11" i="3"/>
  <c r="X11" i="3"/>
  <c r="S11" i="3"/>
  <c r="R11" i="3"/>
  <c r="C11" i="3"/>
  <c r="AA10" i="3"/>
  <c r="X10" i="3"/>
  <c r="S10" i="3"/>
  <c r="R10" i="3"/>
  <c r="M10" i="3"/>
  <c r="C10" i="3"/>
  <c r="AA9" i="3"/>
  <c r="X9" i="3"/>
  <c r="S9" i="3"/>
  <c r="R9" i="3"/>
  <c r="M9" i="3"/>
  <c r="C9" i="3"/>
  <c r="C8" i="3"/>
  <c r="F38" i="5"/>
  <c r="G38" i="5" s="1"/>
  <c r="C38" i="5"/>
  <c r="C43" i="5"/>
  <c r="F43" i="5"/>
  <c r="G43" i="5" s="1"/>
  <c r="Y24" i="1"/>
  <c r="L7" i="8"/>
  <c r="D9" i="7"/>
  <c r="E9" i="7" s="1"/>
  <c r="L28" i="8" s="1"/>
  <c r="D12" i="7"/>
  <c r="E12" i="7" s="1"/>
  <c r="L27" i="8" s="1"/>
  <c r="D14" i="7"/>
  <c r="E14" i="7" s="1"/>
  <c r="L32" i="8" s="1"/>
  <c r="E13" i="7"/>
  <c r="L31" i="8" s="1"/>
  <c r="E20" i="6"/>
  <c r="E21" i="6"/>
  <c r="E22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 s="1"/>
  <c r="E32" i="6"/>
  <c r="F32" i="6"/>
  <c r="C6" i="5"/>
  <c r="F6" i="5"/>
  <c r="J6" i="5"/>
  <c r="K6" i="5"/>
  <c r="C7" i="5"/>
  <c r="F7" i="5"/>
  <c r="G7" i="5" s="1"/>
  <c r="J7" i="5"/>
  <c r="K7" i="5"/>
  <c r="C8" i="5"/>
  <c r="F8" i="5"/>
  <c r="G8" i="5" s="1"/>
  <c r="J8" i="5"/>
  <c r="K8" i="5"/>
  <c r="C9" i="5"/>
  <c r="F9" i="5"/>
  <c r="G9" i="5" s="1"/>
  <c r="J9" i="5"/>
  <c r="K9" i="5"/>
  <c r="C10" i="5"/>
  <c r="F10" i="5"/>
  <c r="G10" i="5" s="1"/>
  <c r="J10" i="5"/>
  <c r="K10" i="5"/>
  <c r="C11" i="5"/>
  <c r="F11" i="5"/>
  <c r="G11" i="5" s="1"/>
  <c r="J11" i="5"/>
  <c r="K11" i="5"/>
  <c r="C12" i="5"/>
  <c r="F12" i="5"/>
  <c r="G12" i="5" s="1"/>
  <c r="J12" i="5"/>
  <c r="K12" i="5"/>
  <c r="C13" i="5"/>
  <c r="F13" i="5"/>
  <c r="G13" i="5" s="1"/>
  <c r="J13" i="5"/>
  <c r="K13" i="5"/>
  <c r="C14" i="5"/>
  <c r="F14" i="5"/>
  <c r="G14" i="5" s="1"/>
  <c r="J14" i="5"/>
  <c r="K14" i="5"/>
  <c r="C15" i="5"/>
  <c r="F15" i="5"/>
  <c r="G15" i="5" s="1"/>
  <c r="J15" i="5"/>
  <c r="K15" i="5"/>
  <c r="C16" i="5"/>
  <c r="F16" i="5"/>
  <c r="G16" i="5" s="1"/>
  <c r="J16" i="5"/>
  <c r="K16" i="5"/>
  <c r="C17" i="5"/>
  <c r="F17" i="5"/>
  <c r="G17" i="5" s="1"/>
  <c r="J17" i="5"/>
  <c r="K17" i="5"/>
  <c r="C18" i="5"/>
  <c r="F18" i="5"/>
  <c r="G18" i="5" s="1"/>
  <c r="J18" i="5"/>
  <c r="K18" i="5"/>
  <c r="C19" i="5"/>
  <c r="F19" i="5"/>
  <c r="G19" i="5" s="1"/>
  <c r="J19" i="5"/>
  <c r="K19" i="5"/>
  <c r="C20" i="5"/>
  <c r="F20" i="5"/>
  <c r="G20" i="5" s="1"/>
  <c r="J20" i="5"/>
  <c r="K20" i="5"/>
  <c r="C21" i="5"/>
  <c r="F21" i="5"/>
  <c r="G21" i="5" s="1"/>
  <c r="J21" i="5"/>
  <c r="K21" i="5"/>
  <c r="C22" i="5"/>
  <c r="F22" i="5"/>
  <c r="G22" i="5" s="1"/>
  <c r="J22" i="5"/>
  <c r="K22" i="5"/>
  <c r="C23" i="5"/>
  <c r="F23" i="5"/>
  <c r="G23" i="5" s="1"/>
  <c r="J23" i="5"/>
  <c r="K23" i="5"/>
  <c r="C24" i="5"/>
  <c r="F24" i="5"/>
  <c r="G24" i="5" s="1"/>
  <c r="J24" i="5"/>
  <c r="K24" i="5"/>
  <c r="C25" i="5"/>
  <c r="F25" i="5"/>
  <c r="G25" i="5" s="1"/>
  <c r="J25" i="5"/>
  <c r="K25" i="5"/>
  <c r="C26" i="5"/>
  <c r="F26" i="5"/>
  <c r="G26" i="5" s="1"/>
  <c r="J26" i="5"/>
  <c r="K26" i="5"/>
  <c r="C27" i="5"/>
  <c r="F27" i="5"/>
  <c r="G27" i="5" s="1"/>
  <c r="J27" i="5"/>
  <c r="K27" i="5"/>
  <c r="C28" i="5"/>
  <c r="F28" i="5"/>
  <c r="G28" i="5" s="1"/>
  <c r="J28" i="5"/>
  <c r="K28" i="5"/>
  <c r="C29" i="5"/>
  <c r="F29" i="5"/>
  <c r="G29" i="5" s="1"/>
  <c r="J29" i="5"/>
  <c r="K29" i="5"/>
  <c r="C30" i="5"/>
  <c r="F30" i="5"/>
  <c r="G30" i="5" s="1"/>
  <c r="J30" i="5"/>
  <c r="K30" i="5"/>
  <c r="C31" i="5"/>
  <c r="F31" i="5"/>
  <c r="G31" i="5" s="1"/>
  <c r="J31" i="5"/>
  <c r="K31" i="5"/>
  <c r="C32" i="5"/>
  <c r="F32" i="5"/>
  <c r="G32" i="5" s="1"/>
  <c r="J32" i="5"/>
  <c r="K32" i="5"/>
  <c r="C33" i="5"/>
  <c r="F33" i="5"/>
  <c r="G33" i="5" s="1"/>
  <c r="J33" i="5"/>
  <c r="K33" i="5"/>
  <c r="C34" i="5"/>
  <c r="F34" i="5"/>
  <c r="G34" i="5" s="1"/>
  <c r="J34" i="5"/>
  <c r="K34" i="5"/>
  <c r="C35" i="5"/>
  <c r="F35" i="5"/>
  <c r="G35" i="5" s="1"/>
  <c r="J35" i="5"/>
  <c r="K35" i="5"/>
  <c r="C36" i="5"/>
  <c r="F36" i="5"/>
  <c r="G36" i="5" s="1"/>
  <c r="J36" i="5"/>
  <c r="K36" i="5"/>
  <c r="C37" i="5"/>
  <c r="F37" i="5"/>
  <c r="G37" i="5" s="1"/>
  <c r="J37" i="5"/>
  <c r="K37" i="5"/>
  <c r="C39" i="5"/>
  <c r="F39" i="5"/>
  <c r="G39" i="5" s="1"/>
  <c r="J39" i="5"/>
  <c r="K39" i="5"/>
  <c r="C40" i="5"/>
  <c r="F40" i="5"/>
  <c r="G40" i="5" s="1"/>
  <c r="J40" i="5"/>
  <c r="K40" i="5"/>
  <c r="C41" i="5"/>
  <c r="F41" i="5"/>
  <c r="G41" i="5" s="1"/>
  <c r="J41" i="5"/>
  <c r="K41" i="5"/>
  <c r="C42" i="5"/>
  <c r="F42" i="5"/>
  <c r="G42" i="5" s="1"/>
  <c r="J42" i="5"/>
  <c r="K42" i="5"/>
  <c r="C44" i="5"/>
  <c r="F44" i="5"/>
  <c r="G44" i="5" s="1"/>
  <c r="J44" i="5"/>
  <c r="K44" i="5"/>
  <c r="C45" i="5"/>
  <c r="F45" i="5"/>
  <c r="G45" i="5" s="1"/>
  <c r="J45" i="5"/>
  <c r="K45" i="5"/>
  <c r="C46" i="5"/>
  <c r="F46" i="5"/>
  <c r="G46" i="5" s="1"/>
  <c r="J46" i="5"/>
  <c r="K46" i="5"/>
  <c r="C47" i="5"/>
  <c r="F47" i="5"/>
  <c r="G47" i="5" s="1"/>
  <c r="J47" i="5"/>
  <c r="K47" i="5"/>
  <c r="C48" i="5"/>
  <c r="F48" i="5"/>
  <c r="G48" i="5" s="1"/>
  <c r="J48" i="5"/>
  <c r="K48" i="5"/>
  <c r="C49" i="5"/>
  <c r="F49" i="5"/>
  <c r="G49" i="5"/>
  <c r="J49" i="5"/>
  <c r="K49" i="5"/>
  <c r="C50" i="5"/>
  <c r="F50" i="5"/>
  <c r="G50" i="5" s="1"/>
  <c r="J50" i="5"/>
  <c r="K50" i="5"/>
  <c r="C51" i="5"/>
  <c r="F51" i="5"/>
  <c r="G51" i="5" s="1"/>
  <c r="J51" i="5"/>
  <c r="K51" i="5"/>
  <c r="J56" i="5"/>
  <c r="K56" i="5"/>
  <c r="C57" i="5"/>
  <c r="F57" i="5"/>
  <c r="G57" i="5" s="1"/>
  <c r="J57" i="5"/>
  <c r="K57" i="5"/>
  <c r="C59" i="5"/>
  <c r="F59" i="5"/>
  <c r="G59" i="5" s="1"/>
  <c r="J59" i="5"/>
  <c r="K59" i="5"/>
  <c r="C60" i="5"/>
  <c r="F60" i="5"/>
  <c r="G60" i="5" s="1"/>
  <c r="J60" i="5"/>
  <c r="K60" i="5"/>
  <c r="C61" i="5"/>
  <c r="F61" i="5"/>
  <c r="G61" i="5" s="1"/>
  <c r="J61" i="5"/>
  <c r="K61" i="5"/>
  <c r="C62" i="5"/>
  <c r="F62" i="5"/>
  <c r="G62" i="5" s="1"/>
  <c r="J62" i="5"/>
  <c r="K62" i="5"/>
  <c r="C63" i="5"/>
  <c r="F63" i="5"/>
  <c r="G63" i="5" s="1"/>
  <c r="J63" i="5"/>
  <c r="K63" i="5"/>
  <c r="C64" i="5"/>
  <c r="F64" i="5"/>
  <c r="G64" i="5" s="1"/>
  <c r="J64" i="5"/>
  <c r="K64" i="5"/>
  <c r="C65" i="5"/>
  <c r="F65" i="5"/>
  <c r="G65" i="5" s="1"/>
  <c r="J65" i="5"/>
  <c r="C66" i="5"/>
  <c r="F66" i="5"/>
  <c r="G66" i="5" s="1"/>
  <c r="J66" i="5"/>
  <c r="K66" i="5"/>
  <c r="C67" i="5"/>
  <c r="F67" i="5"/>
  <c r="G67" i="5" s="1"/>
  <c r="J67" i="5"/>
  <c r="K67" i="5"/>
  <c r="C69" i="5"/>
  <c r="F69" i="5"/>
  <c r="G69" i="5" s="1"/>
  <c r="J69" i="5"/>
  <c r="K69" i="5"/>
  <c r="C70" i="5"/>
  <c r="F70" i="5"/>
  <c r="G70" i="5" s="1"/>
  <c r="J70" i="5"/>
  <c r="K70" i="5"/>
  <c r="C71" i="5"/>
  <c r="F71" i="5"/>
  <c r="G71" i="5" s="1"/>
  <c r="J71" i="5"/>
  <c r="K71" i="5"/>
  <c r="C72" i="5"/>
  <c r="F72" i="5"/>
  <c r="G72" i="5" s="1"/>
  <c r="J72" i="5"/>
  <c r="K72" i="5"/>
  <c r="C73" i="5"/>
  <c r="F73" i="5"/>
  <c r="G73" i="5" s="1"/>
  <c r="J73" i="5"/>
  <c r="K73" i="5"/>
  <c r="C74" i="5"/>
  <c r="F74" i="5"/>
  <c r="G74" i="5" s="1"/>
  <c r="J74" i="5"/>
  <c r="K74" i="5"/>
  <c r="C75" i="5"/>
  <c r="F75" i="5"/>
  <c r="G75" i="5" s="1"/>
  <c r="J75" i="5"/>
  <c r="K75" i="5"/>
  <c r="C89" i="5"/>
  <c r="G89" i="5"/>
  <c r="J89" i="5"/>
  <c r="K89" i="5"/>
  <c r="C76" i="5"/>
  <c r="F76" i="5"/>
  <c r="G76" i="5" s="1"/>
  <c r="J76" i="5"/>
  <c r="K76" i="5"/>
  <c r="C77" i="5"/>
  <c r="F77" i="5"/>
  <c r="G77" i="5" s="1"/>
  <c r="J77" i="5"/>
  <c r="K77" i="5"/>
  <c r="C78" i="5"/>
  <c r="F78" i="5"/>
  <c r="G78" i="5" s="1"/>
  <c r="J78" i="5"/>
  <c r="K78" i="5"/>
  <c r="C79" i="5"/>
  <c r="F79" i="5"/>
  <c r="G79" i="5" s="1"/>
  <c r="J79" i="5"/>
  <c r="K79" i="5"/>
  <c r="C80" i="5"/>
  <c r="F80" i="5"/>
  <c r="G80" i="5" s="1"/>
  <c r="J80" i="5"/>
  <c r="K80" i="5"/>
  <c r="F81" i="5"/>
  <c r="G81" i="5" s="1"/>
  <c r="J81" i="5"/>
  <c r="C82" i="5"/>
  <c r="F82" i="5"/>
  <c r="G82" i="5" s="1"/>
  <c r="J82" i="5"/>
  <c r="K82" i="5"/>
  <c r="C83" i="5"/>
  <c r="F83" i="5"/>
  <c r="G83" i="5" s="1"/>
  <c r="J83" i="5"/>
  <c r="K83" i="5"/>
  <c r="C84" i="5"/>
  <c r="F84" i="5"/>
  <c r="G84" i="5" s="1"/>
  <c r="J84" i="5"/>
  <c r="K84" i="5"/>
  <c r="C85" i="5"/>
  <c r="F85" i="5"/>
  <c r="G85" i="5" s="1"/>
  <c r="J85" i="5"/>
  <c r="K85" i="5"/>
  <c r="C86" i="5"/>
  <c r="F86" i="5"/>
  <c r="G86" i="5" s="1"/>
  <c r="J86" i="5"/>
  <c r="K86" i="5"/>
  <c r="C87" i="5"/>
  <c r="F87" i="5"/>
  <c r="G87" i="5"/>
  <c r="J87" i="5"/>
  <c r="K87" i="5"/>
  <c r="C88" i="5"/>
  <c r="F88" i="5"/>
  <c r="G88" i="5" s="1"/>
  <c r="J88" i="5"/>
  <c r="K88" i="5"/>
  <c r="D94" i="5"/>
  <c r="C8" i="4"/>
  <c r="C10" i="4"/>
  <c r="P10" i="4"/>
  <c r="S10" i="4" s="1"/>
  <c r="C11" i="4"/>
  <c r="P11" i="4"/>
  <c r="S11" i="4" s="1"/>
  <c r="R11" i="4"/>
  <c r="C12" i="4"/>
  <c r="P12" i="4"/>
  <c r="S12" i="4" s="1"/>
  <c r="R12" i="4"/>
  <c r="P13" i="4"/>
  <c r="S13" i="4" s="1"/>
  <c r="R13" i="4"/>
  <c r="AE14" i="4"/>
  <c r="P14" i="4"/>
  <c r="S14" i="4" s="1"/>
  <c r="R14" i="4"/>
  <c r="AE15" i="4"/>
  <c r="P15" i="4"/>
  <c r="S15" i="4" s="1"/>
  <c r="R15" i="4"/>
  <c r="P16" i="4"/>
  <c r="S16" i="4" s="1"/>
  <c r="R16" i="4"/>
  <c r="AE20" i="4"/>
  <c r="C20" i="4"/>
  <c r="AE21" i="4"/>
  <c r="P21" i="4"/>
  <c r="S21" i="4" s="1"/>
  <c r="C22" i="4"/>
  <c r="C23" i="4"/>
  <c r="P23" i="4"/>
  <c r="S23" i="4" s="1"/>
  <c r="C26" i="4"/>
  <c r="P26" i="4"/>
  <c r="S26" i="4" s="1"/>
  <c r="C27" i="4"/>
  <c r="P27" i="4"/>
  <c r="S27" i="4" s="1"/>
  <c r="C28" i="4"/>
  <c r="P30" i="4"/>
  <c r="S30" i="4" s="1"/>
  <c r="D32" i="4"/>
  <c r="E32" i="4"/>
  <c r="F32" i="4"/>
  <c r="G32" i="4"/>
  <c r="V32" i="4"/>
  <c r="W32" i="4"/>
  <c r="L22" i="8"/>
  <c r="O7" i="2"/>
  <c r="U7" i="2"/>
  <c r="AD8" i="2"/>
  <c r="C9" i="2"/>
  <c r="AD9" i="2"/>
  <c r="C10" i="2"/>
  <c r="K10" i="2"/>
  <c r="T10" i="2" s="1"/>
  <c r="U10" i="2"/>
  <c r="C11" i="2"/>
  <c r="T11" i="2"/>
  <c r="U11" i="2"/>
  <c r="C12" i="2"/>
  <c r="K12" i="2"/>
  <c r="U12" i="2"/>
  <c r="O13" i="2"/>
  <c r="AI13" i="2" s="1"/>
  <c r="AH13" i="2" s="1"/>
  <c r="U13" i="2"/>
  <c r="AD15" i="2"/>
  <c r="AD17" i="2"/>
  <c r="C18" i="2"/>
  <c r="AD18" i="2"/>
  <c r="C19" i="2"/>
  <c r="T19" i="2"/>
  <c r="U19" i="2"/>
  <c r="C20" i="2"/>
  <c r="T20" i="2"/>
  <c r="U20" i="2"/>
  <c r="C21" i="2"/>
  <c r="O21" i="2"/>
  <c r="AI21" i="2" s="1"/>
  <c r="U21" i="2"/>
  <c r="O22" i="2"/>
  <c r="AI22" i="2" s="1"/>
  <c r="AH22" i="2" s="1"/>
  <c r="U22" i="2"/>
  <c r="K23" i="2"/>
  <c r="O23" i="2"/>
  <c r="AI23" i="2" s="1"/>
  <c r="U23" i="2"/>
  <c r="O26" i="2"/>
  <c r="AI26" i="2" s="1"/>
  <c r="AH26" i="2" s="1"/>
  <c r="U26" i="2"/>
  <c r="D29" i="2"/>
  <c r="E29" i="2"/>
  <c r="F29" i="2"/>
  <c r="G29" i="2"/>
  <c r="X29" i="2"/>
  <c r="Y29" i="2"/>
  <c r="AA29" i="2"/>
  <c r="AB29" i="2"/>
  <c r="K3" i="1"/>
  <c r="U9" i="1"/>
  <c r="U10" i="1"/>
  <c r="C11" i="1"/>
  <c r="C12" i="1"/>
  <c r="M12" i="1"/>
  <c r="R12" i="1"/>
  <c r="S12" i="1"/>
  <c r="C13" i="1"/>
  <c r="M13" i="1"/>
  <c r="R13" i="1"/>
  <c r="S13" i="1"/>
  <c r="C14" i="1"/>
  <c r="M14" i="1"/>
  <c r="R14" i="1"/>
  <c r="S14" i="1"/>
  <c r="U15" i="1"/>
  <c r="AB15" i="1"/>
  <c r="B16" i="1"/>
  <c r="C16" i="1" s="1"/>
  <c r="AB16" i="1"/>
  <c r="AE17" i="1"/>
  <c r="C17" i="1"/>
  <c r="M17" i="1"/>
  <c r="R17" i="1"/>
  <c r="S17" i="1"/>
  <c r="C18" i="1"/>
  <c r="M18" i="1"/>
  <c r="R18" i="1"/>
  <c r="S18" i="1"/>
  <c r="C19" i="1"/>
  <c r="M19" i="1"/>
  <c r="R19" i="1"/>
  <c r="S19" i="1"/>
  <c r="C20" i="1"/>
  <c r="M20" i="1"/>
  <c r="R20" i="1"/>
  <c r="S20" i="1"/>
  <c r="R21" i="1"/>
  <c r="S21" i="1"/>
  <c r="AJ24" i="1"/>
  <c r="L9" i="8" s="1"/>
  <c r="M22" i="1"/>
  <c r="S22" i="1" s="1"/>
  <c r="T22" i="1" s="1"/>
  <c r="U22" i="1" s="1"/>
  <c r="D24" i="1"/>
  <c r="E24" i="1"/>
  <c r="F24" i="1"/>
  <c r="V24" i="1"/>
  <c r="W24" i="1"/>
  <c r="Z24" i="1"/>
  <c r="AK24" i="1"/>
  <c r="M26" i="1"/>
  <c r="S26" i="1" s="1"/>
  <c r="T26" i="1" s="1"/>
  <c r="R27" i="1"/>
  <c r="S27" i="1"/>
  <c r="C32" i="1"/>
  <c r="M32" i="1"/>
  <c r="R32" i="1"/>
  <c r="S32" i="1"/>
  <c r="X32" i="1"/>
  <c r="AA32" i="1"/>
  <c r="AE33" i="1"/>
  <c r="AF33" i="1"/>
  <c r="C33" i="1"/>
  <c r="M33" i="1"/>
  <c r="R33" i="1"/>
  <c r="S33" i="1"/>
  <c r="X33" i="1"/>
  <c r="AA33" i="1"/>
  <c r="AE34" i="1"/>
  <c r="AF34" i="1"/>
  <c r="E23" i="6"/>
  <c r="C5" i="6"/>
  <c r="D15" i="7"/>
  <c r="E15" i="7" s="1"/>
  <c r="L34" i="8" s="1"/>
  <c r="C7" i="6"/>
  <c r="F23" i="6"/>
  <c r="D10" i="7"/>
  <c r="E10" i="7" s="1"/>
  <c r="L29" i="8" s="1"/>
  <c r="AE27" i="3" l="1"/>
  <c r="AE28" i="3"/>
  <c r="C27" i="3"/>
  <c r="E31" i="6"/>
  <c r="T26" i="4"/>
  <c r="AF26" i="4" s="1"/>
  <c r="T21" i="1"/>
  <c r="C24" i="1"/>
  <c r="T17" i="1"/>
  <c r="U17" i="1" s="1"/>
  <c r="T21" i="2"/>
  <c r="V21" i="2" s="1"/>
  <c r="W21" i="2" s="1"/>
  <c r="T19" i="1"/>
  <c r="T26" i="2"/>
  <c r="V26" i="2" s="1"/>
  <c r="T22" i="2"/>
  <c r="V22" i="2" s="1"/>
  <c r="AD22" i="2" s="1"/>
  <c r="T13" i="2"/>
  <c r="V13" i="2" s="1"/>
  <c r="T7" i="2"/>
  <c r="V7" i="2" s="1"/>
  <c r="AH7" i="2" s="1"/>
  <c r="T25" i="4"/>
  <c r="T28" i="4"/>
  <c r="AB28" i="4" s="1"/>
  <c r="T21" i="3"/>
  <c r="AF21" i="3" s="1"/>
  <c r="T24" i="3"/>
  <c r="AB24" i="3" s="1"/>
  <c r="T16" i="3"/>
  <c r="AF16" i="3" s="1"/>
  <c r="T23" i="4"/>
  <c r="T9" i="3"/>
  <c r="U9" i="3" s="1"/>
  <c r="T14" i="3"/>
  <c r="C29" i="2"/>
  <c r="T11" i="3"/>
  <c r="AF11" i="3" s="1"/>
  <c r="L15" i="8"/>
  <c r="T12" i="2"/>
  <c r="V12" i="2" s="1"/>
  <c r="AH12" i="2" s="1"/>
  <c r="V11" i="2"/>
  <c r="AH11" i="2" s="1"/>
  <c r="T14" i="1"/>
  <c r="U14" i="1" s="1"/>
  <c r="T16" i="4"/>
  <c r="AB16" i="4" s="1"/>
  <c r="T10" i="3"/>
  <c r="T19" i="3"/>
  <c r="AB19" i="3" s="1"/>
  <c r="V24" i="2"/>
  <c r="AH24" i="2" s="1"/>
  <c r="Z29" i="2"/>
  <c r="AC29" i="2"/>
  <c r="T33" i="1"/>
  <c r="AB33" i="1" s="1"/>
  <c r="T32" i="1"/>
  <c r="U32" i="1" s="1"/>
  <c r="T27" i="1"/>
  <c r="U27" i="1" s="1"/>
  <c r="T13" i="1"/>
  <c r="AF13" i="1" s="1"/>
  <c r="L4" i="8"/>
  <c r="T29" i="4"/>
  <c r="T22" i="4"/>
  <c r="AB22" i="4" s="1"/>
  <c r="T13" i="3"/>
  <c r="AF13" i="3" s="1"/>
  <c r="T20" i="3"/>
  <c r="AB20" i="3" s="1"/>
  <c r="T22" i="3"/>
  <c r="AF22" i="3" s="1"/>
  <c r="T25" i="3"/>
  <c r="U25" i="3" s="1"/>
  <c r="T12" i="3"/>
  <c r="U12" i="3" s="1"/>
  <c r="V19" i="2"/>
  <c r="AH19" i="2" s="1"/>
  <c r="V10" i="2"/>
  <c r="AH10" i="2" s="1"/>
  <c r="V14" i="2"/>
  <c r="AD14" i="2" s="1"/>
  <c r="R24" i="1"/>
  <c r="T15" i="4"/>
  <c r="T14" i="4"/>
  <c r="T13" i="4"/>
  <c r="AB13" i="4" s="1"/>
  <c r="T12" i="4"/>
  <c r="X32" i="4"/>
  <c r="AJ33" i="4" s="1"/>
  <c r="C32" i="4"/>
  <c r="L20" i="8"/>
  <c r="T21" i="4"/>
  <c r="AB21" i="4" s="1"/>
  <c r="T27" i="4"/>
  <c r="AB27" i="4" s="1"/>
  <c r="T10" i="4"/>
  <c r="AF10" i="4" s="1"/>
  <c r="T23" i="3"/>
  <c r="T17" i="3"/>
  <c r="AF17" i="3" s="1"/>
  <c r="T15" i="3"/>
  <c r="AF15" i="3" s="1"/>
  <c r="R27" i="3"/>
  <c r="T23" i="2"/>
  <c r="V23" i="2" s="1"/>
  <c r="AD23" i="2" s="1"/>
  <c r="U29" i="2"/>
  <c r="AG30" i="2"/>
  <c r="L10" i="8" s="1"/>
  <c r="V20" i="2"/>
  <c r="AH20" i="2" s="1"/>
  <c r="U26" i="1"/>
  <c r="AE27" i="1"/>
  <c r="T20" i="1"/>
  <c r="U20" i="1" s="1"/>
  <c r="S24" i="1"/>
  <c r="T12" i="1"/>
  <c r="S27" i="3"/>
  <c r="T11" i="4"/>
  <c r="S32" i="4"/>
  <c r="T30" i="4"/>
  <c r="AB30" i="4" s="1"/>
  <c r="R32" i="4"/>
  <c r="AA27" i="3"/>
  <c r="X27" i="3"/>
  <c r="T18" i="1"/>
  <c r="AF18" i="1" s="1"/>
  <c r="AA24" i="1"/>
  <c r="AB22" i="1"/>
  <c r="X24" i="1"/>
  <c r="F94" i="5"/>
  <c r="I94" i="5" s="1"/>
  <c r="G6" i="5"/>
  <c r="G94" i="5" s="1"/>
  <c r="D7" i="7" s="1"/>
  <c r="E7" i="7" s="1"/>
  <c r="K94" i="5"/>
  <c r="AB14" i="4" l="1"/>
  <c r="AF14" i="4"/>
  <c r="AB23" i="4"/>
  <c r="AF23" i="4"/>
  <c r="AB11" i="4"/>
  <c r="AF11" i="4"/>
  <c r="L23" i="8"/>
  <c r="AJ32" i="4"/>
  <c r="AB12" i="4"/>
  <c r="AF12" i="4"/>
  <c r="AF32" i="4" s="1"/>
  <c r="U23" i="3"/>
  <c r="AF23" i="3"/>
  <c r="AF27" i="3" s="1"/>
  <c r="AB19" i="1"/>
  <c r="AF19" i="1"/>
  <c r="AH23" i="2"/>
  <c r="AH21" i="2"/>
  <c r="AH29" i="2" s="1"/>
  <c r="AJ30" i="2"/>
  <c r="L12" i="8" s="1"/>
  <c r="F31" i="6"/>
  <c r="C6" i="6"/>
  <c r="U28" i="4"/>
  <c r="AB21" i="1"/>
  <c r="U23" i="4"/>
  <c r="AB10" i="4"/>
  <c r="U29" i="4"/>
  <c r="AB29" i="4"/>
  <c r="U15" i="4"/>
  <c r="AB15" i="4"/>
  <c r="AB26" i="4"/>
  <c r="U25" i="4"/>
  <c r="AB25" i="4"/>
  <c r="U21" i="1"/>
  <c r="U26" i="4"/>
  <c r="U15" i="3"/>
  <c r="U22" i="3"/>
  <c r="U14" i="3"/>
  <c r="U17" i="3"/>
  <c r="U11" i="3"/>
  <c r="U21" i="3"/>
  <c r="U13" i="3"/>
  <c r="U16" i="3"/>
  <c r="W12" i="2"/>
  <c r="AB17" i="1"/>
  <c r="AB13" i="1"/>
  <c r="W24" i="2"/>
  <c r="U19" i="1"/>
  <c r="U21" i="4"/>
  <c r="W13" i="2"/>
  <c r="AD13" i="2"/>
  <c r="AD26" i="2"/>
  <c r="W26" i="2"/>
  <c r="AD21" i="2"/>
  <c r="U22" i="4"/>
  <c r="U12" i="1"/>
  <c r="AD11" i="2"/>
  <c r="W20" i="2"/>
  <c r="W10" i="2"/>
  <c r="AD19" i="2"/>
  <c r="U10" i="3"/>
  <c r="AB9" i="3"/>
  <c r="AD12" i="2"/>
  <c r="U14" i="4"/>
  <c r="W19" i="2"/>
  <c r="AB25" i="3"/>
  <c r="AB21" i="3"/>
  <c r="W22" i="2"/>
  <c r="AD24" i="2"/>
  <c r="U33" i="1"/>
  <c r="AD20" i="2"/>
  <c r="U10" i="4"/>
  <c r="AB10" i="3"/>
  <c r="AB11" i="3"/>
  <c r="U13" i="4"/>
  <c r="W11" i="2"/>
  <c r="AL30" i="2"/>
  <c r="AB14" i="1"/>
  <c r="AB32" i="1"/>
  <c r="U16" i="4"/>
  <c r="AB14" i="3"/>
  <c r="AB12" i="3"/>
  <c r="U13" i="1"/>
  <c r="T24" i="1"/>
  <c r="B3" i="7" s="1"/>
  <c r="U28" i="1"/>
  <c r="T20" i="4"/>
  <c r="AB20" i="4" s="1"/>
  <c r="U27" i="4"/>
  <c r="W14" i="2"/>
  <c r="T8" i="4"/>
  <c r="L5" i="8"/>
  <c r="AE29" i="1"/>
  <c r="T28" i="1"/>
  <c r="AB12" i="1"/>
  <c r="U12" i="4"/>
  <c r="AB23" i="3"/>
  <c r="AB22" i="3"/>
  <c r="AB13" i="3"/>
  <c r="AD10" i="2"/>
  <c r="W23" i="2"/>
  <c r="T27" i="3"/>
  <c r="B5" i="7" s="1"/>
  <c r="T29" i="2"/>
  <c r="AI25" i="1"/>
  <c r="AB20" i="1"/>
  <c r="T32" i="4"/>
  <c r="B6" i="7" s="1"/>
  <c r="U30" i="4"/>
  <c r="U11" i="4"/>
  <c r="AI28" i="3"/>
  <c r="W7" i="2"/>
  <c r="V29" i="2"/>
  <c r="AD7" i="2"/>
  <c r="AB18" i="1"/>
  <c r="U18" i="1"/>
  <c r="B7" i="7"/>
  <c r="H7" i="7" s="1"/>
  <c r="L13" i="8" l="1"/>
  <c r="AL29" i="2"/>
  <c r="L8" i="8"/>
  <c r="AI24" i="1"/>
  <c r="AF33" i="4"/>
  <c r="L21" i="8" s="1"/>
  <c r="AF28" i="3"/>
  <c r="L18" i="8"/>
  <c r="AI27" i="3"/>
  <c r="D11" i="7"/>
  <c r="E11" i="7" s="1"/>
  <c r="L30" i="8" s="1"/>
  <c r="C12" i="6"/>
  <c r="U27" i="3"/>
  <c r="AC27" i="3" s="1"/>
  <c r="D5" i="7" s="1"/>
  <c r="E5" i="7" s="1"/>
  <c r="L16" i="8"/>
  <c r="AF25" i="1"/>
  <c r="L6" i="8" s="1"/>
  <c r="AH30" i="2"/>
  <c r="L11" i="8" s="1"/>
  <c r="U24" i="1"/>
  <c r="AC24" i="1" s="1"/>
  <c r="D3" i="7" s="1"/>
  <c r="W29" i="2"/>
  <c r="AE29" i="2" s="1"/>
  <c r="D4" i="7" s="1"/>
  <c r="E4" i="7" s="1"/>
  <c r="AD29" i="2"/>
  <c r="C4" i="7" s="1"/>
  <c r="H4" i="7" s="1"/>
  <c r="U32" i="4"/>
  <c r="AB32" i="4"/>
  <c r="C6" i="7" s="1"/>
  <c r="H6" i="7" s="1"/>
  <c r="AB27" i="3"/>
  <c r="AB24" i="1"/>
  <c r="C3" i="7" s="1"/>
  <c r="H3" i="7" s="1"/>
  <c r="L25" i="8"/>
  <c r="J94" i="5"/>
  <c r="E3" i="7" l="1"/>
  <c r="E17" i="7" s="1"/>
  <c r="D17" i="7"/>
  <c r="C5" i="7"/>
  <c r="H5" i="7" s="1"/>
  <c r="AC32" i="4"/>
  <c r="D6" i="7" s="1"/>
  <c r="L37" i="8"/>
  <c r="E6" i="7" l="1"/>
</calcChain>
</file>

<file path=xl/comments1.xml><?xml version="1.0" encoding="utf-8"?>
<comments xmlns="http://schemas.openxmlformats.org/spreadsheetml/2006/main">
  <authors>
    <author>Maria Haldeaki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Maria Haldeaki:</t>
        </r>
        <r>
          <rPr>
            <sz val="9"/>
            <color indexed="81"/>
            <rFont val="Tahoma"/>
            <family val="2"/>
          </rPr>
          <t xml:space="preserve">
skrivekurset på 6 timer pluss oppgaveretting på 2 timer inngår i kjøp og avtrett
</t>
        </r>
      </text>
    </comment>
  </commentList>
</comments>
</file>

<file path=xl/comments2.xml><?xml version="1.0" encoding="utf-8"?>
<comments xmlns="http://schemas.openxmlformats.org/spreadsheetml/2006/main">
  <authors>
    <author>Lillian M. Stang Almaas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antallet eksterne høst og vår mangler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introduksjon deles opp pr semester.
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introduksjon pr. semester
</t>
        </r>
      </text>
    </comment>
  </commentList>
</comments>
</file>

<file path=xl/comments3.xml><?xml version="1.0" encoding="utf-8"?>
<comments xmlns="http://schemas.openxmlformats.org/spreadsheetml/2006/main">
  <authors>
    <author>Lillian M. Stang Almaas</author>
    <author>Karoline Stensvik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tre fag behov for 3 timer
</t>
        </r>
      </text>
    </comment>
    <comment ref="E14" authorId="1">
      <text>
        <r>
          <rPr>
            <b/>
            <sz val="9"/>
            <color indexed="81"/>
            <rFont val="Tahoma"/>
            <family val="2"/>
          </rPr>
          <t>Karoline Stensvik:</t>
        </r>
        <r>
          <rPr>
            <sz val="9"/>
            <color indexed="81"/>
            <rFont val="Tahoma"/>
            <family val="2"/>
          </rPr>
          <t xml:space="preserve">
Timeberegning pr kurs = 9 timer pga kurslærer slår sammen to kurs når de er i rettssal
</t>
        </r>
      </text>
    </comment>
  </commentList>
</comments>
</file>

<file path=xl/sharedStrings.xml><?xml version="1.0" encoding="utf-8"?>
<sst xmlns="http://schemas.openxmlformats.org/spreadsheetml/2006/main" count="549" uniqueCount="379">
  <si>
    <t>Ex.phil 10 sp</t>
  </si>
  <si>
    <t>Fag</t>
  </si>
  <si>
    <t>Forelesnings-timer</t>
  </si>
  <si>
    <t>Antall deltakere per  kurs</t>
  </si>
  <si>
    <t>Antall deltakere per  PBL</t>
  </si>
  <si>
    <t>Antall deltakere per  basisgruppe</t>
  </si>
  <si>
    <t>Forventet antall studenter pr semester</t>
  </si>
  <si>
    <t>Timer disponibelt totalt</t>
  </si>
  <si>
    <t>Kostnad kr</t>
  </si>
  <si>
    <t>Totalt undervisning</t>
  </si>
  <si>
    <t>Timesats undervisning</t>
  </si>
  <si>
    <t>Timesats oppgaver</t>
  </si>
  <si>
    <t>Basis-grupper timer</t>
  </si>
  <si>
    <t>Kollokviegrupper</t>
  </si>
  <si>
    <t xml:space="preserve">Statsforfatningsrett </t>
  </si>
  <si>
    <t>EØS-rett</t>
  </si>
  <si>
    <t>Folkerett</t>
  </si>
  <si>
    <t>Introduksjon</t>
  </si>
  <si>
    <t>Ex.fac.</t>
  </si>
  <si>
    <t xml:space="preserve">Kjøps- og avtalerett </t>
  </si>
  <si>
    <t xml:space="preserve">Menneskerettigheter </t>
  </si>
  <si>
    <t>Rettskilder til fots</t>
  </si>
  <si>
    <t>Familie- og arverett</t>
  </si>
  <si>
    <t xml:space="preserve">Fast eiendoms rettsforhold </t>
  </si>
  <si>
    <t xml:space="preserve">Erstatningsrett </t>
  </si>
  <si>
    <t>Basisgrupper</t>
  </si>
  <si>
    <t xml:space="preserve">Alminnelig forvaltningsrett </t>
  </si>
  <si>
    <t>Velferdsrett</t>
  </si>
  <si>
    <t xml:space="preserve">Miljørett </t>
  </si>
  <si>
    <t>Eksamensrettet kurs</t>
  </si>
  <si>
    <t>Dynamisk tingsrett</t>
  </si>
  <si>
    <t>Avtalerett</t>
  </si>
  <si>
    <t xml:space="preserve">Selskapsrett </t>
  </si>
  <si>
    <t xml:space="preserve">Rettshistorie  </t>
  </si>
  <si>
    <t>Rettssosiologi</t>
  </si>
  <si>
    <t>Rettsøkonomi</t>
  </si>
  <si>
    <t xml:space="preserve">Sivilprosess </t>
  </si>
  <si>
    <t xml:space="preserve">Strafferett </t>
  </si>
  <si>
    <t xml:space="preserve">Straffeprosess </t>
  </si>
  <si>
    <t>Yrkesteknikk</t>
  </si>
  <si>
    <t>Metode</t>
  </si>
  <si>
    <t>Forelesning kollokvieledere</t>
  </si>
  <si>
    <t>Oppgaveløsningsseminar fak.oppg</t>
  </si>
  <si>
    <t>JUS1111</t>
  </si>
  <si>
    <t>JUS1211</t>
  </si>
  <si>
    <t>JUS2111</t>
  </si>
  <si>
    <t>JUS2211</t>
  </si>
  <si>
    <t>JUS3111</t>
  </si>
  <si>
    <t>JUS3211</t>
  </si>
  <si>
    <t>JUS4111</t>
  </si>
  <si>
    <t>JUS4211</t>
  </si>
  <si>
    <t>Perspektivfag 4121/4122 (10 sp hver)</t>
  </si>
  <si>
    <t>Timesats kollokvie*</t>
  </si>
  <si>
    <t>Obligasjonsrett 2</t>
  </si>
  <si>
    <t xml:space="preserve">Privatrett 1 </t>
  </si>
  <si>
    <t>intro i rettsøkonomi/rettssosiologi</t>
  </si>
  <si>
    <t xml:space="preserve">Totalt </t>
  </si>
  <si>
    <t>Undervisning valgemner</t>
  </si>
  <si>
    <t>Internasjonale master</t>
  </si>
  <si>
    <t>Emneleveranser</t>
  </si>
  <si>
    <t>Veiledning</t>
  </si>
  <si>
    <t>Internasjonalisering</t>
  </si>
  <si>
    <t xml:space="preserve">Oppsummering </t>
  </si>
  <si>
    <t>2. studieår</t>
  </si>
  <si>
    <t>3. studieår</t>
  </si>
  <si>
    <t>4. studieår</t>
  </si>
  <si>
    <t>Manuduksjoner</t>
  </si>
  <si>
    <t>Antall timer undervisning</t>
  </si>
  <si>
    <t>Antall timer oppgaver</t>
  </si>
  <si>
    <t>Totalt</t>
  </si>
  <si>
    <t>Ekstern kostnad</t>
  </si>
  <si>
    <t>Timer</t>
  </si>
  <si>
    <t>Pensjon</t>
  </si>
  <si>
    <t>År</t>
  </si>
  <si>
    <t>Sted</t>
  </si>
  <si>
    <t>Prosjekt</t>
  </si>
  <si>
    <t>Tiltak</t>
  </si>
  <si>
    <t>Navn/gruppe</t>
  </si>
  <si>
    <t>C-Lt</t>
  </si>
  <si>
    <t>Kategori</t>
  </si>
  <si>
    <t>Period.</t>
  </si>
  <si>
    <t>Kommentar/Logg</t>
  </si>
  <si>
    <t>Bud</t>
  </si>
  <si>
    <t>620211</t>
  </si>
  <si>
    <t>620212</t>
  </si>
  <si>
    <t>620213</t>
  </si>
  <si>
    <t>620214</t>
  </si>
  <si>
    <t>620215</t>
  </si>
  <si>
    <t>kollokvier</t>
  </si>
  <si>
    <t>620221</t>
  </si>
  <si>
    <t>620222</t>
  </si>
  <si>
    <t>620223</t>
  </si>
  <si>
    <t>620224</t>
  </si>
  <si>
    <t>620225</t>
  </si>
  <si>
    <t>620231</t>
  </si>
  <si>
    <t>620232</t>
  </si>
  <si>
    <t>620233</t>
  </si>
  <si>
    <t>620234</t>
  </si>
  <si>
    <t>620235</t>
  </si>
  <si>
    <t>Andel eksterne</t>
  </si>
  <si>
    <t>620241</t>
  </si>
  <si>
    <t>620242</t>
  </si>
  <si>
    <t>620243</t>
  </si>
  <si>
    <t>620244</t>
  </si>
  <si>
    <t>620245</t>
  </si>
  <si>
    <t xml:space="preserve"> =Tall som legges inn av/avklares med seksjonsleder studie</t>
  </si>
  <si>
    <t xml:space="preserve"> </t>
  </si>
  <si>
    <t xml:space="preserve">Prosess og strafferett </t>
  </si>
  <si>
    <t>Metode og etikk</t>
  </si>
  <si>
    <t>Timer pr studiepoeng</t>
  </si>
  <si>
    <t>Timer disponibelt pr år</t>
  </si>
  <si>
    <t>Formuerett I</t>
  </si>
  <si>
    <t xml:space="preserve">Statsforfatningsrett og internasjonal rett </t>
  </si>
  <si>
    <t xml:space="preserve">Forvaltningsrett </t>
  </si>
  <si>
    <t>PBL timer</t>
  </si>
  <si>
    <t xml:space="preserve">Privatrett II  </t>
  </si>
  <si>
    <t>Antall timer planlagt pr år</t>
  </si>
  <si>
    <t xml:space="preserve">Antall timer planlagt pr år </t>
  </si>
  <si>
    <t>kurs</t>
  </si>
  <si>
    <t>pbl</t>
  </si>
  <si>
    <t>basis</t>
  </si>
  <si>
    <t>oppgaver</t>
  </si>
  <si>
    <t>Tiltakskoder</t>
  </si>
  <si>
    <t>Eksternt timer antall</t>
  </si>
  <si>
    <t>forelesning</t>
  </si>
  <si>
    <t>Antall grupper kurs vår</t>
  </si>
  <si>
    <t>Antall grupper PBL vår</t>
  </si>
  <si>
    <t>Antall grupper PBL høst</t>
  </si>
  <si>
    <t>Antall timer vår</t>
  </si>
  <si>
    <t>Antall timer høst</t>
  </si>
  <si>
    <t>Fakultetsoppgaver kostnad</t>
  </si>
  <si>
    <t>Kursoppgaver kostnad</t>
  </si>
  <si>
    <t>Total undervisningskostnad kr</t>
  </si>
  <si>
    <t>Antall eksterne kurs</t>
  </si>
  <si>
    <t>Antall eksterne basis</t>
  </si>
  <si>
    <t>Antall eksterne lærere og timer</t>
  </si>
  <si>
    <t>Fakultets-oppgaver kostnad</t>
  </si>
  <si>
    <t>Kurs-oppgaver kostnad</t>
  </si>
  <si>
    <t>Antall basis-grupper vår</t>
  </si>
  <si>
    <t>Antall basis-grupper høst</t>
  </si>
  <si>
    <t>Total undervisnings-Kostnad</t>
  </si>
  <si>
    <t>Eksterne timer antall</t>
  </si>
  <si>
    <t>Antall eksterne PBL</t>
  </si>
  <si>
    <t>Total undervisningskostnad</t>
  </si>
  <si>
    <t>Grunnleggende skatterett</t>
  </si>
  <si>
    <t>Petroleumskontrakter</t>
  </si>
  <si>
    <t xml:space="preserve">Arbeidsrett, kol.del </t>
  </si>
  <si>
    <t>Barnerett</t>
  </si>
  <si>
    <t>Bygge- og entrepriserett</t>
  </si>
  <si>
    <t>Design-, varemerke- og patentrett</t>
  </si>
  <si>
    <t>Forsikringsrett</t>
  </si>
  <si>
    <t>Husleie- og eiersekseksjonsrett</t>
  </si>
  <si>
    <t>Informasjonsrett</t>
  </si>
  <si>
    <t>Kommunalrett</t>
  </si>
  <si>
    <t>Konkurranserett</t>
  </si>
  <si>
    <t>Kriminologi</t>
  </si>
  <si>
    <t>Odels- og åsetesrett</t>
  </si>
  <si>
    <t>Personvern</t>
  </si>
  <si>
    <t>Romersk rett</t>
  </si>
  <si>
    <t>Selskapsrett</t>
  </si>
  <si>
    <t>Sjørett: Kontrakter JUS5403</t>
  </si>
  <si>
    <t>Sjørett: Ansvar &amp; forsikring</t>
  </si>
  <si>
    <t>Trygderett</t>
  </si>
  <si>
    <t>Utlendingsrett</t>
  </si>
  <si>
    <t>Markedsrett</t>
  </si>
  <si>
    <t>Internasjonal gjeldsforfølgningsrett</t>
  </si>
  <si>
    <t>Finansmarkedsrett</t>
  </si>
  <si>
    <t>Almen rettsteori</t>
  </si>
  <si>
    <t>Diskriminerings- og likestillingsrett</t>
  </si>
  <si>
    <t>Ekspropriasjonsrett</t>
  </si>
  <si>
    <t>Europarett</t>
  </si>
  <si>
    <t>Garantirett</t>
  </si>
  <si>
    <t>Helserett</t>
  </si>
  <si>
    <t>Int. privatrett</t>
  </si>
  <si>
    <t>Int. menneskerettigheter</t>
  </si>
  <si>
    <t>Opphavsrett</t>
  </si>
  <si>
    <t>Petroleumsrett JUS5410</t>
  </si>
  <si>
    <t>Rettshistorie</t>
  </si>
  <si>
    <t>Samerett</t>
  </si>
  <si>
    <t xml:space="preserve">Skatterett </t>
  </si>
  <si>
    <t>Grunnleggende regnskapsforståelse</t>
  </si>
  <si>
    <t>Arbeidsrett, ind.del</t>
  </si>
  <si>
    <t>Emner som tilbys på engelsk</t>
  </si>
  <si>
    <t>English Law of Contract</t>
  </si>
  <si>
    <t>Criminology</t>
  </si>
  <si>
    <t>Electronic Commerce Law</t>
  </si>
  <si>
    <t>Enforcement and dispute Resolution in Digital Context</t>
  </si>
  <si>
    <t>International Climate change and Energy Law</t>
  </si>
  <si>
    <t>International commercial Law</t>
  </si>
  <si>
    <t>International Criminal Law</t>
  </si>
  <si>
    <t>International Investment Law</t>
  </si>
  <si>
    <t>Marine Insurance</t>
  </si>
  <si>
    <t>Petroleum Law JUS5411</t>
  </si>
  <si>
    <t>Privacy, DataProtection and Lex Informatica</t>
  </si>
  <si>
    <t>Refugee and Asylum Law</t>
  </si>
  <si>
    <t>Women's Law and Human Rights</t>
  </si>
  <si>
    <t xml:space="preserve">International Comparative Labour Law </t>
  </si>
  <si>
    <t>Comparative Private Law</t>
  </si>
  <si>
    <t>Electronic Communications law</t>
  </si>
  <si>
    <t>Intellectual Property Law in the Information Society</t>
  </si>
  <si>
    <t>International Commercial Arbitration</t>
  </si>
  <si>
    <t>International Constitutional Law and Democracy</t>
  </si>
  <si>
    <t>International Environmental Law</t>
  </si>
  <si>
    <t>Internet Governance</t>
  </si>
  <si>
    <t>International Human Rights Law: Institutions and procedures</t>
  </si>
  <si>
    <t>International Humaniatarian Law</t>
  </si>
  <si>
    <t>International Trade Law</t>
  </si>
  <si>
    <t>Maritime Law- Contracts</t>
  </si>
  <si>
    <t>Maritime Law- Liability and Insurance</t>
  </si>
  <si>
    <t>Public International Law</t>
  </si>
  <si>
    <t>Antall eksterne forelesningstimer</t>
  </si>
  <si>
    <t>Eksterne timer</t>
  </si>
  <si>
    <t>Totalt antall timer undervisning og oppgaver</t>
  </si>
  <si>
    <t>Budsjett diverse undervisning:</t>
  </si>
  <si>
    <t>Sats kroner</t>
  </si>
  <si>
    <t>timer vår</t>
  </si>
  <si>
    <t>timer høst</t>
  </si>
  <si>
    <t>Språkfag (engelsk, tysk og fransk for jurister)</t>
  </si>
  <si>
    <t xml:space="preserve">Engelsk: </t>
  </si>
  <si>
    <t>Tysk:</t>
  </si>
  <si>
    <t xml:space="preserve">Fransk: </t>
  </si>
  <si>
    <t xml:space="preserve">Emneleveranser: </t>
  </si>
  <si>
    <t>JUROFF1500 (strafferett) Vår og Høst</t>
  </si>
  <si>
    <t xml:space="preserve">8 t F, 2 K à 8 t </t>
  </si>
  <si>
    <t>Kriminologi og rettssosiologi</t>
  </si>
  <si>
    <t>Fakultetsoppgaver som tilbys høst</t>
  </si>
  <si>
    <t>Fakultetsoppgaver som tilbys  vår</t>
  </si>
  <si>
    <t>Kursoppgaver som tilbys vår</t>
  </si>
  <si>
    <t>Kursoppgaver som tilbys høst</t>
  </si>
  <si>
    <t>Timer disponibelt pr emne</t>
  </si>
  <si>
    <t>sum kroner</t>
  </si>
  <si>
    <t>andel eksterne</t>
  </si>
  <si>
    <t>DRI + Forvaltn.inf.master</t>
  </si>
  <si>
    <t>SUM</t>
  </si>
  <si>
    <t>Sosialrett</t>
  </si>
  <si>
    <t>Naturressursrett</t>
  </si>
  <si>
    <t>EØS regelverk (20 t F 2 k x 10)</t>
  </si>
  <si>
    <t>International Environmental Law and Economics</t>
  </si>
  <si>
    <t>EU- Substantive Law</t>
  </si>
  <si>
    <t>Counter-terroisme and Human rights( veksler med humr5134)</t>
  </si>
  <si>
    <t xml:space="preserve">Menneskerettigheter Bibliotekskurs </t>
  </si>
  <si>
    <t>Innføring i rettsstudiet Bibliotekskurs</t>
  </si>
  <si>
    <t>Budsjetteres av fakultetsbiblioteket:</t>
  </si>
  <si>
    <t>Forelesningstimer</t>
  </si>
  <si>
    <t>1. studieår*</t>
  </si>
  <si>
    <t>*inkl 1728 timer studentledete kollokvier</t>
  </si>
  <si>
    <t>Andre undervisningstiltak i jusstudiet og undervining i andre studieprogrammer</t>
  </si>
  <si>
    <t>Språkfag, jf tabell nedenfor</t>
  </si>
  <si>
    <t>Emneleveranser, jf tabell nedenfor</t>
  </si>
  <si>
    <t>JUROFF1201 (Forvaltningsrett for ikke-jurister) 33 t F, 4 K à 8 t</t>
  </si>
  <si>
    <t>JUROFF1410 (Folkerett) Vår 2 K à 10 t</t>
  </si>
  <si>
    <t>Sum språkfag</t>
  </si>
  <si>
    <t>Sum emneleveranser</t>
  </si>
  <si>
    <t>Internasjonalisering, inkl 25' til nordisk prosedyrekonk.</t>
  </si>
  <si>
    <t>Internasjonale mastergrader</t>
  </si>
  <si>
    <t>Studie-poeng</t>
  </si>
  <si>
    <t>kurs-timer</t>
  </si>
  <si>
    <t>Antall deltakere per  basisgr.</t>
  </si>
  <si>
    <t>Antall basis-grupper</t>
  </si>
  <si>
    <t>Totalt antall timer undervisn. og oppg.</t>
  </si>
  <si>
    <t>Total kostn. undervisn. og oppg.</t>
  </si>
  <si>
    <t>PBL-timer</t>
  </si>
  <si>
    <t>Total kostn. Undervisn. og oppg.</t>
  </si>
  <si>
    <t>Totalt antall timer under-visning og oppgaver</t>
  </si>
  <si>
    <t>Forelesn.-timer</t>
  </si>
  <si>
    <t>Antall delt. per  basisgruppe</t>
  </si>
  <si>
    <t>Total kostn. undervisn. og oppgaver</t>
  </si>
  <si>
    <t>Antall Forelesn-timer</t>
  </si>
  <si>
    <t>Antall kurs-timer</t>
  </si>
  <si>
    <t>Total undervisn-kostnad</t>
  </si>
  <si>
    <t>Fakultets-oppgaver som tilbys vår</t>
  </si>
  <si>
    <t>Fakultets-oppgaver som tilbys høst</t>
  </si>
  <si>
    <t>Kurs-oppgaver som tilbys vår</t>
  </si>
  <si>
    <t>Kurs-oppgaver som tilbys høst</t>
  </si>
  <si>
    <t>Forelesn. timer</t>
  </si>
  <si>
    <t>620251</t>
  </si>
  <si>
    <t>internasjonale mastergrader</t>
  </si>
  <si>
    <t>språkfag</t>
  </si>
  <si>
    <t>emneleveranser</t>
  </si>
  <si>
    <t>veiledning</t>
  </si>
  <si>
    <t>internasjonalisering</t>
  </si>
  <si>
    <t>Språkfag</t>
  </si>
  <si>
    <t xml:space="preserve">BA og MA krim og r.soso </t>
  </si>
  <si>
    <t xml:space="preserve"> BA og MA demokrati og rettigheter</t>
  </si>
  <si>
    <t>Studiepoeng</t>
  </si>
  <si>
    <t>Rettskildelære</t>
  </si>
  <si>
    <t>Oppsamlingskurs Lovdata</t>
  </si>
  <si>
    <t>Rettssosiologi (økning høst 2015)</t>
  </si>
  <si>
    <t>s</t>
  </si>
  <si>
    <t>Rettslig bevisteori</t>
  </si>
  <si>
    <t>Lovgivningslære</t>
  </si>
  <si>
    <t>Humr5140</t>
  </si>
  <si>
    <t>Humr5131</t>
  </si>
  <si>
    <t>Humr5191</t>
  </si>
  <si>
    <t>Humr4504(praksis)</t>
  </si>
  <si>
    <t>Valgemner</t>
  </si>
  <si>
    <t>Humr5702</t>
  </si>
  <si>
    <t>Humr5508</t>
  </si>
  <si>
    <t>Humr5502</t>
  </si>
  <si>
    <t>Humr5133</t>
  </si>
  <si>
    <t>2 kurs som er kostandsberegnet under valgemner:</t>
  </si>
  <si>
    <t>Humr5134</t>
  </si>
  <si>
    <t>Jus5503</t>
  </si>
  <si>
    <t xml:space="preserve">Programmet benytter for det meste interne lærekrefter i sine emner. Fakultets og senterers lærekrefter </t>
  </si>
  <si>
    <t>( eks. Kjetil Larsen, Stener Ekern, Gentian Zyberi..)</t>
  </si>
  <si>
    <t>Programmet har 5 obligatoriske moduler:</t>
  </si>
  <si>
    <t>Kommentarer til Undervisning i Human Rights programmet::</t>
  </si>
  <si>
    <t>Veiledning i jusstudiet (30 og 60 sp)</t>
  </si>
  <si>
    <t>DRI + Forvaltn.inf.master, jf oversikt fra AFIN</t>
  </si>
  <si>
    <t>Human Rights and Diversity - Leading Cases and Core Dilemmas</t>
  </si>
  <si>
    <t>The Right to Peace( veksler med JUS5503)</t>
  </si>
  <si>
    <t xml:space="preserve">Legal Writing and Oral Advocacy in International Law </t>
  </si>
  <si>
    <t>Introduction to the History, Philosophy and Politics of Human Rights HUMR5131</t>
  </si>
  <si>
    <t>Human Rights Law in Context h5132</t>
  </si>
  <si>
    <t>Business and Human Rights H5133</t>
  </si>
  <si>
    <t>Introd. to Human Rights LawH5140</t>
  </si>
  <si>
    <t>Ethnic Challenges to the Nation State: Studying State Responses from a H. Rights PerspectiveH5502</t>
  </si>
  <si>
    <t>Human Rights in Practice H4504</t>
  </si>
  <si>
    <t>Human Rights Methodology: Research, Analysis and ThesisH5191</t>
  </si>
  <si>
    <t>Human Rights and Development: Interdisciplinary Perspectives on Theory and PracticesH5702</t>
  </si>
  <si>
    <t>Human Rights in Asia</t>
  </si>
  <si>
    <t>Law of the Sea</t>
  </si>
  <si>
    <t>Comparative Public Law</t>
  </si>
  <si>
    <t>Oppsamlingskurs Obligatorisk kurs</t>
  </si>
  <si>
    <t>Rettsfilosofi</t>
  </si>
  <si>
    <t>Introduksjon (4111)</t>
  </si>
  <si>
    <t>Introduksjon (4211)</t>
  </si>
  <si>
    <t>Rettssakskurs</t>
  </si>
  <si>
    <t>obligatorisk oppsamling</t>
  </si>
  <si>
    <t>obligatorisk kurs fak.bibl inkl. oppsammling</t>
  </si>
  <si>
    <t>EU Competition Law</t>
  </si>
  <si>
    <t>klokketimer</t>
  </si>
  <si>
    <t>Antall eksterne PBL per år</t>
  </si>
  <si>
    <t>word-kurs</t>
  </si>
  <si>
    <t>Antall grupper vår</t>
  </si>
  <si>
    <t>Herav antall eksterne grupper vår</t>
  </si>
  <si>
    <t>Antall grupper  høst</t>
  </si>
  <si>
    <t>Herav antall eksterne grupper høst</t>
  </si>
  <si>
    <t>Antall grupper høst</t>
  </si>
  <si>
    <t>Herav antall eksterne kurs høst</t>
  </si>
  <si>
    <t>Herav antall eksterne kurs vår</t>
  </si>
  <si>
    <t>Manuduksjoner (spørretime) Metode</t>
  </si>
  <si>
    <t xml:space="preserve">Eksterne timer antall </t>
  </si>
  <si>
    <t>Sum timer 2016</t>
  </si>
  <si>
    <t>Eksterne forelesninger antall pr år, 2 semestere</t>
  </si>
  <si>
    <t>Eksterne forelesninger, antall pr år, 2 semestere</t>
  </si>
  <si>
    <t>Manduksjoner</t>
  </si>
  <si>
    <t>Antall grupper  kurs høst</t>
  </si>
  <si>
    <t>Antall eksterne kurs pr år</t>
  </si>
  <si>
    <t>Herav antall eksterne PBL vår</t>
  </si>
  <si>
    <t>Herav antall eksterne PBL høst</t>
  </si>
  <si>
    <t>Antall eksterne basisgrupper pr år</t>
  </si>
  <si>
    <t>Skrivekurs masteroppgave - kurs</t>
  </si>
  <si>
    <t>Skrivekurs masteroppgave - forelesninger</t>
  </si>
  <si>
    <t xml:space="preserve">Konkurs- og panterett </t>
  </si>
  <si>
    <t xml:space="preserve">Konflikthåndtering </t>
  </si>
  <si>
    <t xml:space="preserve">Offentlige anskaffelser </t>
  </si>
  <si>
    <t xml:space="preserve">Internasjonal skatterett  </t>
  </si>
  <si>
    <t>Formuerett II 12 sp</t>
  </si>
  <si>
    <t>Eksterne timer antall PBL</t>
  </si>
  <si>
    <t>Antall eksterne forelesningstimer - 20% andel</t>
  </si>
  <si>
    <t>TULSA</t>
  </si>
  <si>
    <t>Totalt klokketimer</t>
  </si>
  <si>
    <t>Totalt undervisnings-timer</t>
  </si>
  <si>
    <t>Obligasjonsrett 1</t>
  </si>
  <si>
    <t>Obligatorisk oppgavekurs</t>
  </si>
  <si>
    <t>Kurs i Lovdata</t>
  </si>
  <si>
    <t>Prosjektkurs (tidl klinisk)</t>
  </si>
  <si>
    <t>Etikk</t>
  </si>
  <si>
    <t>Timesats und</t>
  </si>
  <si>
    <t>Timesats oppg</t>
  </si>
  <si>
    <t>Antall eksterne timer</t>
  </si>
  <si>
    <t>Budsjett  1. studieår</t>
  </si>
  <si>
    <t>Budsjett 2. studieår</t>
  </si>
  <si>
    <t>Budsjett 4. studieår</t>
  </si>
  <si>
    <t>Budsjett 3. studieår</t>
  </si>
  <si>
    <t>Tulsa</t>
  </si>
  <si>
    <t>Sum timer 2017</t>
  </si>
  <si>
    <t xml:space="preserve"> 4111: 210, 4211: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</si>
</sst>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.0_ ;_ * \-#,##0.0_ ;_ * &quot;-&quot;??_ ;_ @_ "/>
    <numFmt numFmtId="165" formatCode="_(* #,##0_);_(* \(#,##0\);_(* &quot;-&quot;??_);_(@_)"/>
    <numFmt numFmtId="166" formatCode="_ * #,##0_ ;_ * \-#,##0_ ;_ * &quot;-&quot;??_ ;_ @_ "/>
    <numFmt numFmtId="167" formatCode="000000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44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2B2B2B"/>
      <name val="Arial"/>
      <family val="2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.9"/>
      <color rgb="FF2B2B2B"/>
      <name val="Arial"/>
      <family val="2"/>
    </font>
    <font>
      <b/>
      <sz val="18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6" fillId="5" borderId="25" applyNumberFormat="0" applyFont="0" applyAlignment="0" applyProtection="0"/>
  </cellStyleXfs>
  <cellXfs count="357">
    <xf numFmtId="0" fontId="0" fillId="0" borderId="0" xfId="0"/>
    <xf numFmtId="0" fontId="0" fillId="0" borderId="1" xfId="0" applyBorder="1"/>
    <xf numFmtId="0" fontId="30" fillId="0" borderId="1" xfId="0" applyFont="1" applyBorder="1"/>
    <xf numFmtId="3" fontId="0" fillId="0" borderId="1" xfId="0" applyNumberFormat="1" applyBorder="1"/>
    <xf numFmtId="3" fontId="30" fillId="0" borderId="1" xfId="0" applyNumberFormat="1" applyFont="1" applyBorder="1"/>
    <xf numFmtId="3" fontId="0" fillId="0" borderId="0" xfId="0" applyNumberFormat="1"/>
    <xf numFmtId="0" fontId="30" fillId="0" borderId="1" xfId="0" applyFont="1" applyFill="1" applyBorder="1"/>
    <xf numFmtId="0" fontId="30" fillId="0" borderId="0" xfId="0" applyFont="1"/>
    <xf numFmtId="3" fontId="0" fillId="6" borderId="1" xfId="0" applyNumberFormat="1" applyFill="1" applyBorder="1"/>
    <xf numFmtId="3" fontId="30" fillId="6" borderId="1" xfId="0" applyNumberFormat="1" applyFont="1" applyFill="1" applyBorder="1"/>
    <xf numFmtId="0" fontId="0" fillId="0" borderId="2" xfId="0" applyBorder="1"/>
    <xf numFmtId="0" fontId="30" fillId="0" borderId="2" xfId="0" applyFont="1" applyBorder="1"/>
    <xf numFmtId="0" fontId="32" fillId="0" borderId="2" xfId="0" applyFont="1" applyBorder="1"/>
    <xf numFmtId="3" fontId="0" fillId="0" borderId="0" xfId="0" applyNumberFormat="1" applyBorder="1"/>
    <xf numFmtId="0" fontId="0" fillId="0" borderId="0" xfId="0" applyFill="1" applyBorder="1"/>
    <xf numFmtId="0" fontId="33" fillId="0" borderId="1" xfId="0" applyFont="1" applyBorder="1"/>
    <xf numFmtId="0" fontId="31" fillId="0" borderId="0" xfId="0" applyFont="1"/>
    <xf numFmtId="3" fontId="34" fillId="6" borderId="1" xfId="0" applyNumberFormat="1" applyFont="1" applyFill="1" applyBorder="1"/>
    <xf numFmtId="16" fontId="0" fillId="0" borderId="0" xfId="0" applyNumberFormat="1"/>
    <xf numFmtId="0" fontId="35" fillId="0" borderId="0" xfId="0" applyFont="1" applyAlignment="1">
      <alignment horizontal="left" vertical="center" indent="1"/>
    </xf>
    <xf numFmtId="3" fontId="30" fillId="0" borderId="0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30" fillId="0" borderId="4" xfId="0" applyNumberFormat="1" applyFont="1" applyBorder="1"/>
    <xf numFmtId="0" fontId="30" fillId="0" borderId="2" xfId="0" applyFont="1" applyFill="1" applyBorder="1"/>
    <xf numFmtId="0" fontId="0" fillId="0" borderId="2" xfId="0" applyFont="1" applyBorder="1"/>
    <xf numFmtId="0" fontId="0" fillId="0" borderId="2" xfId="0" applyFill="1" applyBorder="1"/>
    <xf numFmtId="3" fontId="30" fillId="8" borderId="1" xfId="0" applyNumberFormat="1" applyFont="1" applyFill="1" applyBorder="1"/>
    <xf numFmtId="0" fontId="0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3" fontId="30" fillId="0" borderId="0" xfId="0" applyNumberFormat="1" applyFont="1" applyProtection="1"/>
    <xf numFmtId="164" fontId="2" fillId="0" borderId="0" xfId="1" applyNumberFormat="1" applyFont="1" applyFill="1" applyBorder="1" applyAlignment="1" applyProtection="1"/>
    <xf numFmtId="0" fontId="30" fillId="0" borderId="0" xfId="0" applyFont="1" applyProtection="1"/>
    <xf numFmtId="0" fontId="30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165" fontId="4" fillId="0" borderId="0" xfId="2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166" fontId="2" fillId="0" borderId="0" xfId="1" applyNumberFormat="1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3" fillId="0" borderId="5" xfId="0" applyFont="1" applyFill="1" applyBorder="1" applyAlignment="1" applyProtection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26" xfId="0" applyFont="1" applyFill="1" applyBorder="1" applyAlignment="1" applyProtection="1">
      <alignment horizontal="center" vertical="top" wrapText="1"/>
    </xf>
    <xf numFmtId="0" fontId="26" fillId="5" borderId="25" xfId="5" applyFont="1" applyProtection="1">
      <protection locked="0"/>
    </xf>
    <xf numFmtId="43" fontId="26" fillId="5" borderId="25" xfId="2" applyFont="1" applyFill="1" applyBorder="1" applyProtection="1">
      <protection locked="0"/>
    </xf>
    <xf numFmtId="0" fontId="0" fillId="0" borderId="0" xfId="0" applyProtection="1">
      <protection locked="0"/>
    </xf>
    <xf numFmtId="3" fontId="26" fillId="5" borderId="25" xfId="2" applyNumberFormat="1" applyFont="1" applyFill="1" applyBorder="1" applyProtection="1">
      <protection locked="0"/>
    </xf>
    <xf numFmtId="49" fontId="26" fillId="5" borderId="25" xfId="5" applyNumberFormat="1" applyFont="1" applyAlignment="1" applyProtection="1">
      <alignment horizontal="center"/>
      <protection locked="0"/>
    </xf>
    <xf numFmtId="43" fontId="26" fillId="5" borderId="25" xfId="2" applyFont="1" applyFill="1" applyBorder="1" applyProtection="1">
      <protection locked="0"/>
    </xf>
    <xf numFmtId="0" fontId="0" fillId="0" borderId="0" xfId="0" applyFont="1" applyFill="1" applyBorder="1"/>
    <xf numFmtId="0" fontId="0" fillId="0" borderId="0" xfId="0" applyFill="1"/>
    <xf numFmtId="1" fontId="0" fillId="0" borderId="1" xfId="0" applyNumberFormat="1" applyBorder="1"/>
    <xf numFmtId="0" fontId="0" fillId="7" borderId="1" xfId="0" applyFill="1" applyBorder="1"/>
    <xf numFmtId="3" fontId="0" fillId="0" borderId="0" xfId="0" applyNumberFormat="1" applyFill="1"/>
    <xf numFmtId="0" fontId="5" fillId="0" borderId="6" xfId="0" applyFont="1" applyBorder="1" applyAlignment="1">
      <alignment wrapText="1"/>
    </xf>
    <xf numFmtId="0" fontId="5" fillId="6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3" fontId="33" fillId="6" borderId="1" xfId="0" applyNumberFormat="1" applyFont="1" applyFill="1" applyBorder="1"/>
    <xf numFmtId="0" fontId="0" fillId="0" borderId="1" xfId="0" applyFill="1" applyBorder="1"/>
    <xf numFmtId="0" fontId="34" fillId="0" borderId="0" xfId="0" applyFont="1" applyFill="1"/>
    <xf numFmtId="0" fontId="37" fillId="0" borderId="0" xfId="0" applyFont="1"/>
    <xf numFmtId="0" fontId="38" fillId="0" borderId="1" xfId="0" applyFont="1" applyBorder="1"/>
    <xf numFmtId="0" fontId="37" fillId="0" borderId="1" xfId="0" applyFont="1" applyBorder="1" applyAlignment="1">
      <alignment horizontal="center"/>
    </xf>
    <xf numFmtId="3" fontId="39" fillId="0" borderId="1" xfId="0" applyNumberFormat="1" applyFont="1" applyBorder="1"/>
    <xf numFmtId="3" fontId="37" fillId="0" borderId="1" xfId="0" applyNumberFormat="1" applyFont="1" applyBorder="1"/>
    <xf numFmtId="0" fontId="37" fillId="0" borderId="1" xfId="0" applyFont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0" borderId="5" xfId="0" applyBorder="1"/>
    <xf numFmtId="0" fontId="0" fillId="9" borderId="5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/>
    <xf numFmtId="3" fontId="0" fillId="0" borderId="5" xfId="0" applyNumberFormat="1" applyBorder="1"/>
    <xf numFmtId="0" fontId="0" fillId="9" borderId="5" xfId="0" applyFill="1" applyBorder="1"/>
    <xf numFmtId="0" fontId="0" fillId="0" borderId="1" xfId="0" applyFont="1" applyBorder="1"/>
    <xf numFmtId="0" fontId="38" fillId="0" borderId="0" xfId="0" applyFont="1" applyAlignment="1">
      <alignment horizontal="center"/>
    </xf>
    <xf numFmtId="3" fontId="6" fillId="0" borderId="5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30" fillId="0" borderId="3" xfId="0" applyNumberFormat="1" applyFont="1" applyBorder="1"/>
    <xf numFmtId="3" fontId="0" fillId="0" borderId="9" xfId="0" applyNumberFormat="1" applyBorder="1"/>
    <xf numFmtId="3" fontId="30" fillId="0" borderId="9" xfId="0" applyNumberFormat="1" applyFont="1" applyBorder="1"/>
    <xf numFmtId="3" fontId="5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6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0" fillId="6" borderId="1" xfId="0" applyFont="1" applyFill="1" applyBorder="1"/>
    <xf numFmtId="3" fontId="5" fillId="0" borderId="12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/>
    <xf numFmtId="0" fontId="0" fillId="6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vertical="top" wrapText="1"/>
    </xf>
    <xf numFmtId="3" fontId="30" fillId="8" borderId="3" xfId="0" applyNumberFormat="1" applyFont="1" applyFill="1" applyBorder="1"/>
    <xf numFmtId="3" fontId="6" fillId="0" borderId="12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7" fillId="0" borderId="10" xfId="0" applyFont="1" applyBorder="1"/>
    <xf numFmtId="0" fontId="8" fillId="0" borderId="10" xfId="0" applyFont="1" applyBorder="1"/>
    <xf numFmtId="0" fontId="9" fillId="0" borderId="0" xfId="0" applyFont="1" applyFill="1" applyBorder="1" applyAlignment="1"/>
    <xf numFmtId="0" fontId="7" fillId="0" borderId="14" xfId="0" applyFont="1" applyBorder="1" applyAlignment="1">
      <alignment wrapText="1"/>
    </xf>
    <xf numFmtId="0" fontId="34" fillId="0" borderId="1" xfId="3" applyFont="1" applyFill="1" applyBorder="1" applyAlignment="1">
      <alignment wrapText="1"/>
    </xf>
    <xf numFmtId="0" fontId="34" fillId="0" borderId="0" xfId="0" applyFont="1" applyAlignment="1">
      <alignment wrapText="1"/>
    </xf>
    <xf numFmtId="0" fontId="40" fillId="0" borderId="0" xfId="0" applyFont="1"/>
    <xf numFmtId="0" fontId="36" fillId="0" borderId="1" xfId="0" applyFont="1" applyBorder="1" applyAlignment="1">
      <alignment wrapText="1"/>
    </xf>
    <xf numFmtId="0" fontId="40" fillId="0" borderId="1" xfId="0" applyFont="1" applyBorder="1"/>
    <xf numFmtId="3" fontId="40" fillId="0" borderId="1" xfId="0" applyNumberFormat="1" applyFont="1" applyBorder="1"/>
    <xf numFmtId="3" fontId="6" fillId="6" borderId="8" xfId="0" applyNumberFormat="1" applyFont="1" applyFill="1" applyBorder="1" applyAlignment="1">
      <alignment horizontal="center" wrapText="1"/>
    </xf>
    <xf numFmtId="0" fontId="30" fillId="6" borderId="1" xfId="0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0" fontId="38" fillId="0" borderId="0" xfId="0" applyFont="1" applyAlignment="1">
      <alignment horizontal="center"/>
    </xf>
    <xf numFmtId="3" fontId="42" fillId="0" borderId="0" xfId="0" applyNumberFormat="1" applyFont="1"/>
    <xf numFmtId="9" fontId="0" fillId="0" borderId="0" xfId="0" applyNumberFormat="1"/>
    <xf numFmtId="0" fontId="33" fillId="0" borderId="1" xfId="3" applyFont="1" applyFill="1" applyBorder="1" applyAlignment="1">
      <alignment wrapText="1"/>
    </xf>
    <xf numFmtId="0" fontId="43" fillId="0" borderId="0" xfId="0" applyFont="1" applyAlignment="1">
      <alignment horizontal="left" vertical="center" indent="3"/>
    </xf>
    <xf numFmtId="3" fontId="0" fillId="2" borderId="1" xfId="0" applyNumberFormat="1" applyFill="1" applyBorder="1"/>
    <xf numFmtId="0" fontId="0" fillId="2" borderId="1" xfId="0" applyFill="1" applyBorder="1"/>
    <xf numFmtId="9" fontId="0" fillId="9" borderId="12" xfId="0" applyNumberFormat="1" applyFill="1" applyBorder="1"/>
    <xf numFmtId="9" fontId="0" fillId="9" borderId="11" xfId="0" applyNumberFormat="1" applyFill="1" applyBorder="1"/>
    <xf numFmtId="9" fontId="0" fillId="9" borderId="13" xfId="0" applyNumberFormat="1" applyFill="1" applyBorder="1"/>
    <xf numFmtId="3" fontId="44" fillId="0" borderId="1" xfId="0" applyNumberFormat="1" applyFont="1" applyBorder="1"/>
    <xf numFmtId="0" fontId="38" fillId="0" borderId="1" xfId="0" applyFont="1" applyFill="1" applyBorder="1"/>
    <xf numFmtId="0" fontId="4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1" fillId="0" borderId="0" xfId="0" applyFont="1"/>
    <xf numFmtId="3" fontId="21" fillId="0" borderId="0" xfId="0" applyNumberFormat="1" applyFont="1"/>
    <xf numFmtId="0" fontId="10" fillId="0" borderId="0" xfId="0" applyFont="1" applyAlignment="1">
      <alignment horizontal="left"/>
    </xf>
    <xf numFmtId="0" fontId="11" fillId="3" borderId="1" xfId="0" applyFont="1" applyFill="1" applyBorder="1"/>
    <xf numFmtId="3" fontId="11" fillId="3" borderId="1" xfId="0" applyNumberFormat="1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9" fontId="0" fillId="3" borderId="1" xfId="0" applyNumberFormat="1" applyFill="1" applyBorder="1"/>
    <xf numFmtId="0" fontId="13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wrapText="1"/>
    </xf>
    <xf numFmtId="0" fontId="14" fillId="2" borderId="1" xfId="0" applyFont="1" applyFill="1" applyBorder="1"/>
    <xf numFmtId="0" fontId="12" fillId="2" borderId="1" xfId="0" applyFont="1" applyFill="1" applyBorder="1"/>
    <xf numFmtId="0" fontId="45" fillId="3" borderId="1" xfId="0" applyFont="1" applyFill="1" applyBorder="1"/>
    <xf numFmtId="3" fontId="45" fillId="3" borderId="1" xfId="0" applyNumberFormat="1" applyFont="1" applyFill="1" applyBorder="1"/>
    <xf numFmtId="0" fontId="45" fillId="0" borderId="0" xfId="0" applyFont="1"/>
    <xf numFmtId="3" fontId="16" fillId="3" borderId="1" xfId="0" applyNumberFormat="1" applyFont="1" applyFill="1" applyBorder="1"/>
    <xf numFmtId="0" fontId="16" fillId="3" borderId="1" xfId="0" applyFont="1" applyFill="1" applyBorder="1"/>
    <xf numFmtId="3" fontId="13" fillId="3" borderId="1" xfId="0" applyNumberFormat="1" applyFont="1" applyFill="1" applyBorder="1"/>
    <xf numFmtId="0" fontId="23" fillId="3" borderId="1" xfId="0" applyFont="1" applyFill="1" applyBorder="1"/>
    <xf numFmtId="0" fontId="17" fillId="2" borderId="1" xfId="0" applyFont="1" applyFill="1" applyBorder="1"/>
    <xf numFmtId="3" fontId="17" fillId="3" borderId="1" xfId="0" applyNumberFormat="1" applyFont="1" applyFill="1" applyBorder="1"/>
    <xf numFmtId="0" fontId="24" fillId="0" borderId="0" xfId="0" applyFont="1"/>
    <xf numFmtId="3" fontId="24" fillId="0" borderId="0" xfId="0" applyNumberFormat="1" applyFont="1"/>
    <xf numFmtId="0" fontId="46" fillId="0" borderId="1" xfId="0" applyFont="1" applyBorder="1"/>
    <xf numFmtId="0" fontId="0" fillId="0" borderId="0" xfId="0" applyAlignment="1">
      <alignment horizontal="right"/>
    </xf>
    <xf numFmtId="3" fontId="25" fillId="0" borderId="1" xfId="0" applyNumberFormat="1" applyFont="1" applyBorder="1" applyAlignment="1">
      <alignment horizontal="center" vertical="top" wrapText="1"/>
    </xf>
    <xf numFmtId="0" fontId="33" fillId="10" borderId="4" xfId="0" applyFont="1" applyFill="1" applyBorder="1"/>
    <xf numFmtId="0" fontId="0" fillId="10" borderId="9" xfId="0" applyFill="1" applyBorder="1"/>
    <xf numFmtId="0" fontId="30" fillId="10" borderId="3" xfId="0" applyFont="1" applyFill="1" applyBorder="1"/>
    <xf numFmtId="0" fontId="30" fillId="10" borderId="9" xfId="0" applyFont="1" applyFill="1" applyBorder="1"/>
    <xf numFmtId="0" fontId="30" fillId="10" borderId="4" xfId="0" applyFont="1" applyFill="1" applyBorder="1"/>
    <xf numFmtId="0" fontId="30" fillId="10" borderId="3" xfId="0" applyFont="1" applyFill="1" applyBorder="1" applyAlignment="1">
      <alignment horizontal="left" vertical="top" wrapText="1"/>
    </xf>
    <xf numFmtId="0" fontId="30" fillId="0" borderId="0" xfId="0" applyFont="1" applyFill="1"/>
    <xf numFmtId="0" fontId="30" fillId="0" borderId="0" xfId="0" applyFont="1" applyFill="1" applyBorder="1"/>
    <xf numFmtId="0" fontId="0" fillId="10" borderId="11" xfId="0" applyFill="1" applyBorder="1"/>
    <xf numFmtId="0" fontId="30" fillId="10" borderId="12" xfId="0" applyFont="1" applyFill="1" applyBorder="1"/>
    <xf numFmtId="0" fontId="30" fillId="10" borderId="11" xfId="0" applyFont="1" applyFill="1" applyBorder="1"/>
    <xf numFmtId="0" fontId="27" fillId="0" borderId="0" xfId="0" applyFont="1"/>
    <xf numFmtId="0" fontId="38" fillId="0" borderId="1" xfId="0" applyFont="1" applyBorder="1" applyAlignment="1"/>
    <xf numFmtId="0" fontId="37" fillId="0" borderId="1" xfId="0" applyFont="1" applyBorder="1" applyAlignment="1">
      <alignment horizontal="left" wrapText="1"/>
    </xf>
    <xf numFmtId="0" fontId="37" fillId="0" borderId="3" xfId="0" applyFont="1" applyBorder="1"/>
    <xf numFmtId="0" fontId="37" fillId="0" borderId="4" xfId="0" applyFont="1" applyBorder="1"/>
    <xf numFmtId="0" fontId="26" fillId="5" borderId="25" xfId="5" applyFont="1" applyProtection="1">
      <protection locked="0"/>
    </xf>
    <xf numFmtId="0" fontId="37" fillId="0" borderId="27" xfId="0" applyFont="1" applyBorder="1"/>
    <xf numFmtId="3" fontId="38" fillId="0" borderId="1" xfId="0" applyNumberFormat="1" applyFont="1" applyBorder="1"/>
    <xf numFmtId="0" fontId="34" fillId="0" borderId="2" xfId="0" applyFont="1" applyBorder="1"/>
    <xf numFmtId="3" fontId="34" fillId="0" borderId="1" xfId="0" applyNumberFormat="1" applyFont="1" applyBorder="1"/>
    <xf numFmtId="3" fontId="34" fillId="0" borderId="3" xfId="0" applyNumberFormat="1" applyFont="1" applyBorder="1"/>
    <xf numFmtId="0" fontId="34" fillId="0" borderId="0" xfId="0" applyFont="1"/>
    <xf numFmtId="0" fontId="34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1" fillId="2" borderId="21" xfId="0" applyFont="1" applyFill="1" applyBorder="1" applyAlignment="1">
      <alignment horizontal="center"/>
    </xf>
    <xf numFmtId="0" fontId="41" fillId="2" borderId="2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/>
    <xf numFmtId="0" fontId="18" fillId="0" borderId="0" xfId="0" applyFont="1" applyBorder="1"/>
    <xf numFmtId="0" fontId="47" fillId="3" borderId="1" xfId="0" applyFont="1" applyFill="1" applyBorder="1" applyAlignment="1">
      <alignment wrapText="1"/>
    </xf>
    <xf numFmtId="0" fontId="48" fillId="3" borderId="1" xfId="0" applyFont="1" applyFill="1" applyBorder="1" applyAlignment="1">
      <alignment vertical="top" wrapText="1"/>
    </xf>
    <xf numFmtId="0" fontId="48" fillId="2" borderId="1" xfId="0" applyFont="1" applyFill="1" applyBorder="1"/>
    <xf numFmtId="3" fontId="49" fillId="3" borderId="1" xfId="0" applyNumberFormat="1" applyFont="1" applyFill="1" applyBorder="1"/>
    <xf numFmtId="0" fontId="48" fillId="3" borderId="1" xfId="0" applyFont="1" applyFill="1" applyBorder="1" applyAlignment="1">
      <alignment wrapText="1"/>
    </xf>
    <xf numFmtId="0" fontId="48" fillId="2" borderId="11" xfId="0" applyFont="1" applyFill="1" applyBorder="1"/>
    <xf numFmtId="0" fontId="48" fillId="2" borderId="9" xfId="0" applyFont="1" applyFill="1" applyBorder="1"/>
    <xf numFmtId="0" fontId="48" fillId="2" borderId="16" xfId="0" applyFont="1" applyFill="1" applyBorder="1"/>
    <xf numFmtId="3" fontId="50" fillId="3" borderId="1" xfId="0" applyNumberFormat="1" applyFont="1" applyFill="1" applyBorder="1"/>
    <xf numFmtId="0" fontId="47" fillId="3" borderId="1" xfId="0" applyFont="1" applyFill="1" applyBorder="1" applyAlignment="1">
      <alignment vertical="top" wrapText="1"/>
    </xf>
    <xf numFmtId="0" fontId="47" fillId="2" borderId="1" xfId="0" applyFont="1" applyFill="1" applyBorder="1"/>
    <xf numFmtId="3" fontId="51" fillId="3" borderId="1" xfId="0" applyNumberFormat="1" applyFont="1" applyFill="1" applyBorder="1"/>
    <xf numFmtId="0" fontId="49" fillId="0" borderId="0" xfId="0" applyFont="1"/>
    <xf numFmtId="0" fontId="52" fillId="0" borderId="0" xfId="0" applyFont="1"/>
    <xf numFmtId="3" fontId="37" fillId="0" borderId="0" xfId="0" applyNumberFormat="1" applyFont="1"/>
    <xf numFmtId="0" fontId="34" fillId="3" borderId="1" xfId="0" applyFont="1" applyFill="1" applyBorder="1"/>
    <xf numFmtId="0" fontId="13" fillId="3" borderId="1" xfId="0" applyFont="1" applyFill="1" applyBorder="1"/>
    <xf numFmtId="0" fontId="34" fillId="2" borderId="1" xfId="0" applyFont="1" applyFill="1" applyBorder="1"/>
    <xf numFmtId="3" fontId="34" fillId="3" borderId="1" xfId="0" applyNumberFormat="1" applyFont="1" applyFill="1" applyBorder="1"/>
    <xf numFmtId="0" fontId="17" fillId="0" borderId="0" xfId="0" applyFont="1"/>
    <xf numFmtId="0" fontId="13" fillId="0" borderId="0" xfId="0" applyFont="1"/>
    <xf numFmtId="0" fontId="26" fillId="5" borderId="25" xfId="5" applyFont="1" applyAlignment="1" applyProtection="1">
      <alignment horizontal="center"/>
      <protection locked="0"/>
    </xf>
    <xf numFmtId="167" fontId="26" fillId="5" borderId="25" xfId="5" applyNumberFormat="1" applyFont="1" applyAlignment="1" applyProtection="1">
      <alignment horizontal="center"/>
      <protection locked="0"/>
    </xf>
    <xf numFmtId="3" fontId="26" fillId="5" borderId="25" xfId="2" applyNumberFormat="1" applyFont="1" applyFill="1" applyBorder="1" applyAlignment="1" applyProtection="1">
      <alignment horizontal="center"/>
      <protection locked="0"/>
    </xf>
    <xf numFmtId="0" fontId="26" fillId="5" borderId="25" xfId="2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ill="1" applyBorder="1"/>
    <xf numFmtId="0" fontId="33" fillId="10" borderId="0" xfId="0" applyFont="1" applyFill="1" applyBorder="1"/>
    <xf numFmtId="0" fontId="30" fillId="10" borderId="0" xfId="0" applyFont="1" applyFill="1" applyBorder="1"/>
    <xf numFmtId="0" fontId="0" fillId="5" borderId="25" xfId="5" applyFont="1" applyProtection="1">
      <protection locked="0"/>
    </xf>
    <xf numFmtId="0" fontId="34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9" fillId="9" borderId="3" xfId="0" applyFont="1" applyFill="1" applyBorder="1" applyAlignment="1">
      <alignment horizontal="center" vertical="top"/>
    </xf>
    <xf numFmtId="0" fontId="9" fillId="9" borderId="9" xfId="0" applyFont="1" applyFill="1" applyBorder="1" applyAlignment="1">
      <alignment horizontal="center" vertical="top"/>
    </xf>
    <xf numFmtId="0" fontId="9" fillId="9" borderId="4" xfId="0" applyFont="1" applyFill="1" applyBorder="1" applyAlignment="1">
      <alignment horizontal="center" vertical="top"/>
    </xf>
    <xf numFmtId="0" fontId="9" fillId="0" borderId="0" xfId="0" applyFont="1"/>
    <xf numFmtId="0" fontId="5" fillId="0" borderId="6" xfId="0" applyFont="1" applyBorder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center" vertical="top" wrapText="1"/>
    </xf>
    <xf numFmtId="3" fontId="6" fillId="6" borderId="8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vertical="top" wrapText="1"/>
    </xf>
    <xf numFmtId="3" fontId="34" fillId="6" borderId="1" xfId="0" applyNumberFormat="1" applyFon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3" fontId="31" fillId="6" borderId="1" xfId="0" applyNumberFormat="1" applyFont="1" applyFill="1" applyBorder="1" applyProtection="1">
      <protection locked="0"/>
    </xf>
    <xf numFmtId="3" fontId="0" fillId="6" borderId="3" xfId="0" applyNumberFormat="1" applyFill="1" applyBorder="1" applyProtection="1">
      <protection locked="0"/>
    </xf>
    <xf numFmtId="3" fontId="30" fillId="6" borderId="1" xfId="0" applyNumberFormat="1" applyFont="1" applyFill="1" applyBorder="1" applyProtection="1">
      <protection locked="0"/>
    </xf>
    <xf numFmtId="0" fontId="30" fillId="6" borderId="1" xfId="0" applyFont="1" applyFill="1" applyBorder="1" applyProtection="1">
      <protection locked="0"/>
    </xf>
    <xf numFmtId="3" fontId="30" fillId="6" borderId="3" xfId="0" applyNumberFormat="1" applyFont="1" applyFill="1" applyBorder="1" applyProtection="1">
      <protection locked="0"/>
    </xf>
    <xf numFmtId="0" fontId="30" fillId="6" borderId="3" xfId="0" applyFon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16" fillId="2" borderId="1" xfId="0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3" fontId="34" fillId="0" borderId="1" xfId="0" applyNumberFormat="1" applyFont="1" applyBorder="1" applyProtection="1">
      <protection locked="0"/>
    </xf>
    <xf numFmtId="0" fontId="31" fillId="6" borderId="1" xfId="0" applyFont="1" applyFill="1" applyBorder="1" applyProtection="1">
      <protection locked="0"/>
    </xf>
    <xf numFmtId="0" fontId="34" fillId="6" borderId="1" xfId="0" applyFont="1" applyFill="1" applyBorder="1" applyProtection="1">
      <protection locked="0"/>
    </xf>
    <xf numFmtId="3" fontId="33" fillId="10" borderId="4" xfId="0" applyNumberFormat="1" applyFont="1" applyFill="1" applyBorder="1" applyProtection="1">
      <protection locked="0"/>
    </xf>
    <xf numFmtId="3" fontId="30" fillId="10" borderId="4" xfId="0" applyNumberFormat="1" applyFont="1" applyFill="1" applyBorder="1" applyProtection="1">
      <protection locked="0"/>
    </xf>
    <xf numFmtId="3" fontId="34" fillId="11" borderId="1" xfId="0" applyNumberFormat="1" applyFont="1" applyFill="1" applyBorder="1" applyProtection="1">
      <protection locked="0"/>
    </xf>
    <xf numFmtId="0" fontId="33" fillId="10" borderId="4" xfId="0" applyFont="1" applyFill="1" applyBorder="1" applyProtection="1">
      <protection locked="0"/>
    </xf>
    <xf numFmtId="0" fontId="30" fillId="10" borderId="13" xfId="0" applyFont="1" applyFill="1" applyBorder="1" applyProtection="1"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3" fontId="34" fillId="10" borderId="4" xfId="0" applyNumberFormat="1" applyFont="1" applyFill="1" applyBorder="1" applyProtection="1">
      <protection locked="0"/>
    </xf>
    <xf numFmtId="0" fontId="34" fillId="2" borderId="1" xfId="0" applyFont="1" applyFill="1" applyBorder="1" applyProtection="1">
      <protection locked="0"/>
    </xf>
    <xf numFmtId="0" fontId="22" fillId="2" borderId="1" xfId="4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Protection="1">
      <protection locked="0"/>
    </xf>
    <xf numFmtId="3" fontId="39" fillId="0" borderId="1" xfId="0" applyNumberFormat="1" applyFont="1" applyBorder="1" applyProtection="1">
      <protection locked="0"/>
    </xf>
    <xf numFmtId="0" fontId="0" fillId="6" borderId="1" xfId="0" applyFill="1" applyBorder="1" applyAlignment="1">
      <alignment wrapText="1"/>
    </xf>
    <xf numFmtId="0" fontId="34" fillId="0" borderId="1" xfId="0" applyFont="1" applyFill="1" applyBorder="1" applyProtection="1">
      <protection locked="0"/>
    </xf>
    <xf numFmtId="0" fontId="0" fillId="0" borderId="1" xfId="0" applyFill="1" applyBorder="1" applyProtection="1"/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166" fontId="30" fillId="0" borderId="1" xfId="1" applyNumberFormat="1" applyFont="1" applyBorder="1"/>
    <xf numFmtId="3" fontId="30" fillId="0" borderId="5" xfId="0" applyNumberFormat="1" applyFont="1" applyFill="1" applyBorder="1"/>
    <xf numFmtId="3" fontId="30" fillId="0" borderId="5" xfId="0" applyNumberFormat="1" applyFont="1" applyBorder="1" applyAlignment="1">
      <alignment wrapText="1"/>
    </xf>
    <xf numFmtId="0" fontId="0" fillId="12" borderId="0" xfId="0" applyFill="1"/>
    <xf numFmtId="0" fontId="0" fillId="12" borderId="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30" fillId="12" borderId="3" xfId="0" applyFont="1" applyFill="1" applyBorder="1"/>
    <xf numFmtId="0" fontId="30" fillId="12" borderId="9" xfId="0" applyFont="1" applyFill="1" applyBorder="1"/>
    <xf numFmtId="0" fontId="32" fillId="12" borderId="4" xfId="0" applyFont="1" applyFill="1" applyBorder="1"/>
    <xf numFmtId="0" fontId="33" fillId="12" borderId="17" xfId="0" applyFont="1" applyFill="1" applyBorder="1"/>
    <xf numFmtId="0" fontId="33" fillId="12" borderId="16" xfId="0" applyFont="1" applyFill="1" applyBorder="1"/>
    <xf numFmtId="0" fontId="33" fillId="12" borderId="9" xfId="0" applyFont="1" applyFill="1" applyBorder="1"/>
    <xf numFmtId="3" fontId="33" fillId="12" borderId="4" xfId="0" applyNumberFormat="1" applyFont="1" applyFill="1" applyBorder="1"/>
    <xf numFmtId="0" fontId="30" fillId="12" borderId="4" xfId="0" applyFont="1" applyFill="1" applyBorder="1"/>
    <xf numFmtId="0" fontId="34" fillId="12" borderId="0" xfId="0" applyFont="1" applyFill="1" applyBorder="1"/>
    <xf numFmtId="3" fontId="31" fillId="12" borderId="0" xfId="0" applyNumberFormat="1" applyFont="1" applyFill="1" applyBorder="1"/>
    <xf numFmtId="0" fontId="5" fillId="12" borderId="1" xfId="0" applyFont="1" applyFill="1" applyBorder="1" applyAlignment="1">
      <alignment horizontal="center" wrapText="1"/>
    </xf>
    <xf numFmtId="0" fontId="30" fillId="12" borderId="1" xfId="0" applyFont="1" applyFill="1" applyBorder="1"/>
    <xf numFmtId="3" fontId="30" fillId="0" borderId="0" xfId="0" applyNumberFormat="1" applyFont="1"/>
    <xf numFmtId="0" fontId="34" fillId="12" borderId="3" xfId="0" applyFont="1" applyFill="1" applyBorder="1"/>
    <xf numFmtId="0" fontId="34" fillId="12" borderId="9" xfId="0" applyFont="1" applyFill="1" applyBorder="1"/>
    <xf numFmtId="0" fontId="33" fillId="12" borderId="4" xfId="0" applyFont="1" applyFill="1" applyBorder="1"/>
    <xf numFmtId="0" fontId="33" fillId="12" borderId="3" xfId="0" applyFont="1" applyFill="1" applyBorder="1" applyAlignment="1">
      <alignment horizontal="left" vertical="top" wrapText="1"/>
    </xf>
    <xf numFmtId="3" fontId="33" fillId="12" borderId="4" xfId="0" applyNumberFormat="1" applyFont="1" applyFill="1" applyBorder="1" applyAlignment="1">
      <alignment horizontal="right" wrapText="1"/>
    </xf>
    <xf numFmtId="0" fontId="0" fillId="12" borderId="0" xfId="0" applyFill="1" applyAlignment="1">
      <alignment horizontal="left" vertical="top" wrapText="1"/>
    </xf>
    <xf numFmtId="1" fontId="33" fillId="12" borderId="4" xfId="0" applyNumberFormat="1" applyFont="1" applyFill="1" applyBorder="1" applyAlignment="1">
      <alignment horizontal="right"/>
    </xf>
    <xf numFmtId="1" fontId="33" fillId="12" borderId="0" xfId="0" applyNumberFormat="1" applyFont="1" applyFill="1" applyBorder="1" applyAlignment="1">
      <alignment horizontal="right"/>
    </xf>
    <xf numFmtId="0" fontId="34" fillId="12" borderId="0" xfId="0" applyFont="1" applyFill="1" applyAlignment="1">
      <alignment horizontal="left" vertical="top" wrapText="1"/>
    </xf>
    <xf numFmtId="0" fontId="34" fillId="12" borderId="0" xfId="0" applyFont="1" applyFill="1"/>
    <xf numFmtId="0" fontId="36" fillId="12" borderId="12" xfId="0" applyFont="1" applyFill="1" applyBorder="1"/>
    <xf numFmtId="0" fontId="36" fillId="12" borderId="13" xfId="0" applyFont="1" applyFill="1" applyBorder="1"/>
    <xf numFmtId="0" fontId="36" fillId="12" borderId="0" xfId="0" applyFont="1" applyFill="1" applyBorder="1"/>
    <xf numFmtId="3" fontId="36" fillId="12" borderId="0" xfId="0" applyNumberFormat="1" applyFont="1" applyFill="1" applyBorder="1"/>
    <xf numFmtId="0" fontId="55" fillId="0" borderId="0" xfId="0" applyFont="1"/>
    <xf numFmtId="0" fontId="5" fillId="12" borderId="1" xfId="0" applyFont="1" applyFill="1" applyBorder="1" applyAlignment="1">
      <alignment wrapText="1"/>
    </xf>
    <xf numFmtId="0" fontId="34" fillId="12" borderId="1" xfId="0" applyFont="1" applyFill="1" applyBorder="1"/>
    <xf numFmtId="0" fontId="33" fillId="12" borderId="1" xfId="0" applyFont="1" applyFill="1" applyBorder="1"/>
    <xf numFmtId="0" fontId="15" fillId="12" borderId="1" xfId="0" applyFont="1" applyFill="1" applyBorder="1"/>
    <xf numFmtId="0" fontId="33" fillId="12" borderId="3" xfId="0" applyFont="1" applyFill="1" applyBorder="1"/>
    <xf numFmtId="0" fontId="36" fillId="12" borderId="3" xfId="0" applyFont="1" applyFill="1" applyBorder="1"/>
    <xf numFmtId="0" fontId="36" fillId="12" borderId="4" xfId="0" applyFont="1" applyFill="1" applyBorder="1"/>
    <xf numFmtId="0" fontId="32" fillId="12" borderId="0" xfId="0" applyFont="1" applyFill="1" applyBorder="1"/>
    <xf numFmtId="3" fontId="32" fillId="12" borderId="0" xfId="0" applyNumberFormat="1" applyFont="1" applyFill="1" applyBorder="1"/>
    <xf numFmtId="0" fontId="5" fillId="12" borderId="7" xfId="0" applyFont="1" applyFill="1" applyBorder="1" applyAlignment="1">
      <alignment wrapText="1"/>
    </xf>
    <xf numFmtId="0" fontId="0" fillId="12" borderId="4" xfId="0" applyFill="1" applyBorder="1"/>
    <xf numFmtId="0" fontId="34" fillId="12" borderId="4" xfId="0" applyFont="1" applyFill="1" applyBorder="1"/>
    <xf numFmtId="3" fontId="30" fillId="12" borderId="4" xfId="0" applyNumberFormat="1" applyFont="1" applyFill="1" applyBorder="1"/>
    <xf numFmtId="0" fontId="40" fillId="12" borderId="3" xfId="0" applyFont="1" applyFill="1" applyBorder="1"/>
    <xf numFmtId="0" fontId="40" fillId="12" borderId="4" xfId="0" applyFont="1" applyFill="1" applyBorder="1"/>
    <xf numFmtId="0" fontId="30" fillId="12" borderId="0" xfId="0" applyFont="1" applyFill="1"/>
    <xf numFmtId="0" fontId="5" fillId="12" borderId="7" xfId="0" applyFont="1" applyFill="1" applyBorder="1" applyAlignment="1">
      <alignment horizontal="center" wrapText="1"/>
    </xf>
    <xf numFmtId="0" fontId="0" fillId="12" borderId="4" xfId="0" applyFont="1" applyFill="1" applyBorder="1"/>
    <xf numFmtId="0" fontId="0" fillId="12" borderId="5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5" xfId="0" applyFill="1" applyBorder="1"/>
    <xf numFmtId="0" fontId="0" fillId="12" borderId="0" xfId="0" applyFill="1" applyBorder="1"/>
    <xf numFmtId="0" fontId="0" fillId="12" borderId="10" xfId="0" applyFill="1" applyBorder="1"/>
    <xf numFmtId="0" fontId="41" fillId="2" borderId="22" xfId="0" applyFont="1" applyFill="1" applyBorder="1" applyAlignment="1">
      <alignment horizontal="center"/>
    </xf>
    <xf numFmtId="0" fontId="30" fillId="1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1" fillId="2" borderId="21" xfId="0" applyFont="1" applyFill="1" applyBorder="1" applyAlignment="1">
      <alignment horizontal="center"/>
    </xf>
    <xf numFmtId="0" fontId="41" fillId="2" borderId="22" xfId="0" applyFont="1" applyFill="1" applyBorder="1" applyAlignment="1">
      <alignment horizontal="center"/>
    </xf>
    <xf numFmtId="0" fontId="41" fillId="2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1" xfId="0" applyFont="1" applyBorder="1" applyAlignment="1">
      <alignment horizontal="center"/>
    </xf>
  </cellXfs>
  <cellStyles count="6">
    <cellStyle name="Comma" xfId="1" builtinId="3"/>
    <cellStyle name="Comma 6" xfId="2"/>
    <cellStyle name="Good" xfId="3" builtinId="26"/>
    <cellStyle name="Hyperlink" xfId="4" builtinId="8"/>
    <cellStyle name="Normal" xfId="0" builtinId="0"/>
    <cellStyle name="Note" xfId="5" builtinId="1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'Oppsummering '!$H$2</c:f>
              <c:strCache>
                <c:ptCount val="1"/>
                <c:pt idx="0">
                  <c:v>Sum timer 2017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'Oppsummering '!$A$3:$A$7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Undervisning valgemner</c:v>
                </c:pt>
              </c:strCache>
            </c:strRef>
          </c:cat>
          <c:val>
            <c:numRef>
              <c:f>'Oppsummering '!$H$3:$H$7</c:f>
              <c:numCache>
                <c:formatCode>#,##0</c:formatCode>
                <c:ptCount val="5"/>
                <c:pt idx="0">
                  <c:v>4170.6153846153848</c:v>
                </c:pt>
                <c:pt idx="1">
                  <c:v>2412.967032967033</c:v>
                </c:pt>
                <c:pt idx="2">
                  <c:v>2270.7692307692309</c:v>
                </c:pt>
                <c:pt idx="3">
                  <c:v>1840.3076923076924</c:v>
                </c:pt>
                <c:pt idx="4">
                  <c:v>1426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152400</xdr:rowOff>
    </xdr:from>
    <xdr:to>
      <xdr:col>7</xdr:col>
      <xdr:colOff>1362075</xdr:colOff>
      <xdr:row>34</xdr:row>
      <xdr:rowOff>38100</xdr:rowOff>
    </xdr:to>
    <xdr:graphicFrame macro="">
      <xdr:nvGraphicFramePr>
        <xdr:cNvPr id="7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\jus-felles\fakadm\Studieseksjonen\Undervisningsplanlegging\Undervisningsbudsjett\2016\Budsjett_2016_1_5&#229;r_for-undervisningsplanlegge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\jus-felles\fakadm\Studieseksjonen\Undervisningsplanlegging\Undervisningsbudsjett\2016\Budsjett_2016_1_5&#229;r_for-undervisningsplanlegge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tudieår"/>
      <sheetName val="2. studieår"/>
      <sheetName val="3. studieår"/>
      <sheetName val="4. studieår"/>
      <sheetName val="Valgemner"/>
      <sheetName val="Diverse"/>
      <sheetName val="Oppsummering "/>
      <sheetName val="Buddyarket"/>
      <sheetName val="HUMR"/>
      <sheetName val="Ark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5582653.8719999995</v>
          </cell>
        </row>
        <row r="4">
          <cell r="D4">
            <v>4667485.7142857146</v>
          </cell>
        </row>
        <row r="5">
          <cell r="D5">
            <v>4467000</v>
          </cell>
        </row>
        <row r="6">
          <cell r="D6">
            <v>3471600</v>
          </cell>
        </row>
        <row r="7">
          <cell r="D7">
            <v>2739750</v>
          </cell>
        </row>
        <row r="9">
          <cell r="D9">
            <v>500000</v>
          </cell>
        </row>
        <row r="10">
          <cell r="D10">
            <v>577500</v>
          </cell>
        </row>
        <row r="11">
          <cell r="D11">
            <v>343900</v>
          </cell>
        </row>
        <row r="12">
          <cell r="D12">
            <v>2663700</v>
          </cell>
        </row>
        <row r="13">
          <cell r="D13">
            <v>343000</v>
          </cell>
        </row>
        <row r="14">
          <cell r="D14">
            <v>260000</v>
          </cell>
        </row>
        <row r="15">
          <cell r="D15">
            <v>260000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tudieår"/>
      <sheetName val="2. studieår"/>
      <sheetName val="3. studieår"/>
      <sheetName val="4. studieår"/>
      <sheetName val="Valgemner"/>
      <sheetName val="Diverse"/>
      <sheetName val="Oppsummering "/>
      <sheetName val="Buddyarket"/>
      <sheetName val="HUMR"/>
      <sheetName val="Ark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H3">
            <v>4210</v>
          </cell>
        </row>
        <row r="4">
          <cell r="H4">
            <v>2534.43956043956</v>
          </cell>
        </row>
        <row r="5">
          <cell r="H5">
            <v>2090.7692307692309</v>
          </cell>
        </row>
        <row r="6">
          <cell r="H6">
            <v>1800.3076923076924</v>
          </cell>
        </row>
        <row r="7">
          <cell r="H7">
            <v>1383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6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17" Type="http://schemas.openxmlformats.org/officeDocument/2006/relationships/comments" Target="../comments2.xml"/><Relationship Id="rId2" Type="http://schemas.openxmlformats.org/officeDocument/2006/relationships/printerSettings" Target="../printerSettings/printerSettings17.bin"/><Relationship Id="rId16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17" Type="http://schemas.openxmlformats.org/officeDocument/2006/relationships/comments" Target="../comments3.xml"/><Relationship Id="rId2" Type="http://schemas.openxmlformats.org/officeDocument/2006/relationships/printerSettings" Target="../printerSettings/printerSettings47.bin"/><Relationship Id="rId16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13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12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Relationship Id="rId14" Type="http://schemas.openxmlformats.org/officeDocument/2006/relationships/printerSettings" Target="../printerSettings/printerSettings8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13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12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0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Relationship Id="rId14" Type="http://schemas.openxmlformats.org/officeDocument/2006/relationships/printerSettings" Target="../printerSettings/printerSettings10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13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06.bin"/><Relationship Id="rId7" Type="http://schemas.openxmlformats.org/officeDocument/2006/relationships/printerSettings" Target="../printerSettings/printerSettings110.bin"/><Relationship Id="rId12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11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08.bin"/><Relationship Id="rId15" Type="http://schemas.openxmlformats.org/officeDocument/2006/relationships/printerSettings" Target="../printerSettings/printerSettings118.bin"/><Relationship Id="rId10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07.bin"/><Relationship Id="rId9" Type="http://schemas.openxmlformats.org/officeDocument/2006/relationships/printerSettings" Target="../printerSettings/printerSettings112.bin"/><Relationship Id="rId14" Type="http://schemas.openxmlformats.org/officeDocument/2006/relationships/printerSettings" Target="../printerSettings/printerSettings1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37"/>
  <sheetViews>
    <sheetView tabSelected="1" workbookViewId="0">
      <pane xSplit="1" topLeftCell="B1" activePane="topRight" state="frozen"/>
      <selection activeCell="A13" sqref="A13"/>
      <selection pane="topRight" activeCell="Q4" sqref="Q4"/>
    </sheetView>
  </sheetViews>
  <sheetFormatPr defaultColWidth="11.42578125" defaultRowHeight="15" x14ac:dyDescent="0.25"/>
  <cols>
    <col min="1" max="1" width="33.85546875" customWidth="1"/>
    <col min="2" max="2" width="7" customWidth="1"/>
    <col min="3" max="3" width="11.140625" customWidth="1"/>
    <col min="4" max="4" width="10.42578125" customWidth="1"/>
    <col min="5" max="5" width="14.7109375" customWidth="1"/>
    <col min="6" max="6" width="8.42578125" hidden="1" customWidth="1"/>
    <col min="7" max="7" width="9.85546875" hidden="1" customWidth="1"/>
    <col min="8" max="8" width="10.42578125" customWidth="1"/>
    <col min="9" max="9" width="9.140625" hidden="1" customWidth="1"/>
    <col min="10" max="10" width="11.28515625" customWidth="1"/>
    <col min="11" max="11" width="8.7109375" customWidth="1"/>
    <col min="12" max="12" width="9.85546875" customWidth="1"/>
    <col min="13" max="13" width="8.85546875" hidden="1" customWidth="1"/>
    <col min="14" max="15" width="8.85546875" customWidth="1"/>
    <col min="16" max="18" width="8.140625" customWidth="1"/>
    <col min="19" max="19" width="10.7109375" customWidth="1"/>
    <col min="20" max="20" width="9.42578125" customWidth="1"/>
    <col min="21" max="22" width="11.85546875" style="5" customWidth="1"/>
    <col min="23" max="23" width="10.5703125" style="5" customWidth="1"/>
    <col min="24" max="28" width="11.85546875" style="5" customWidth="1"/>
    <col min="29" max="30" width="13.42578125" customWidth="1"/>
    <col min="31" max="31" width="11.140625" bestFit="1" customWidth="1"/>
    <col min="32" max="33" width="9.5703125" customWidth="1"/>
    <col min="34" max="35" width="9.140625" customWidth="1"/>
    <col min="36" max="37" width="9.140625" hidden="1" customWidth="1"/>
    <col min="38" max="258" width="9.140625" customWidth="1"/>
  </cols>
  <sheetData>
    <row r="1" spans="1:37" ht="23.25" x14ac:dyDescent="0.35">
      <c r="A1" s="334" t="s">
        <v>372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85"/>
      <c r="W1" s="85"/>
      <c r="X1" s="85"/>
      <c r="Y1" s="85"/>
      <c r="Z1" s="85"/>
      <c r="AA1" s="85"/>
      <c r="AB1" s="120"/>
    </row>
    <row r="2" spans="1:37" x14ac:dyDescent="0.25">
      <c r="U2"/>
      <c r="V2"/>
      <c r="W2"/>
      <c r="X2"/>
      <c r="Y2"/>
      <c r="Z2"/>
      <c r="AA2"/>
      <c r="AB2"/>
    </row>
    <row r="3" spans="1:37" ht="45.75" thickBot="1" x14ac:dyDescent="0.3">
      <c r="A3" s="290" t="s">
        <v>6</v>
      </c>
      <c r="B3" s="291"/>
      <c r="C3" s="291"/>
      <c r="D3" s="292">
        <v>250</v>
      </c>
      <c r="E3" s="293" t="s">
        <v>369</v>
      </c>
      <c r="F3" s="272"/>
      <c r="G3" s="293" t="s">
        <v>10</v>
      </c>
      <c r="H3" s="294">
        <v>1950</v>
      </c>
      <c r="I3" s="295"/>
      <c r="J3" s="293" t="s">
        <v>52</v>
      </c>
      <c r="K3" s="296">
        <f>335.8*1.28</f>
        <v>429.82400000000001</v>
      </c>
      <c r="L3" s="297"/>
      <c r="S3" t="s">
        <v>106</v>
      </c>
      <c r="U3"/>
      <c r="V3"/>
      <c r="W3"/>
      <c r="X3"/>
      <c r="Y3"/>
      <c r="Z3"/>
      <c r="AA3"/>
      <c r="AB3"/>
    </row>
    <row r="4" spans="1:37" ht="30" x14ac:dyDescent="0.25">
      <c r="A4" s="290" t="s">
        <v>7</v>
      </c>
      <c r="B4" s="291"/>
      <c r="C4" s="291"/>
      <c r="D4" s="283">
        <v>2400</v>
      </c>
      <c r="E4" s="293" t="s">
        <v>370</v>
      </c>
      <c r="F4" s="272"/>
      <c r="G4" s="293" t="s">
        <v>11</v>
      </c>
      <c r="H4" s="294">
        <v>300</v>
      </c>
      <c r="I4" s="295"/>
      <c r="J4" s="298"/>
      <c r="K4" s="299"/>
      <c r="L4" s="299"/>
      <c r="M4" s="69"/>
      <c r="N4" s="69"/>
      <c r="O4" s="69"/>
      <c r="U4"/>
      <c r="V4"/>
      <c r="W4"/>
      <c r="X4"/>
      <c r="Y4"/>
      <c r="Z4"/>
      <c r="AA4"/>
      <c r="AB4"/>
      <c r="AE4" s="331" t="s">
        <v>371</v>
      </c>
      <c r="AF4" s="332"/>
      <c r="AG4" s="332"/>
      <c r="AH4" s="332"/>
      <c r="AI4" s="332"/>
      <c r="AJ4" s="333"/>
    </row>
    <row r="5" spans="1:37" ht="18.75" x14ac:dyDescent="0.3">
      <c r="A5" s="300" t="s">
        <v>109</v>
      </c>
      <c r="B5" s="301">
        <v>24</v>
      </c>
      <c r="C5" s="302"/>
      <c r="D5" s="303"/>
      <c r="E5" s="299"/>
      <c r="F5" s="272"/>
      <c r="G5" s="285"/>
      <c r="H5" s="285"/>
      <c r="I5" s="272"/>
      <c r="J5" s="299"/>
      <c r="K5" s="299"/>
      <c r="L5" s="299"/>
      <c r="M5" s="69"/>
      <c r="N5" s="69"/>
      <c r="O5" s="69"/>
      <c r="U5"/>
      <c r="V5"/>
      <c r="W5"/>
      <c r="X5"/>
      <c r="Y5"/>
      <c r="Z5"/>
      <c r="AA5"/>
      <c r="AB5"/>
      <c r="AE5" s="323" t="s">
        <v>124</v>
      </c>
      <c r="AF5" s="273" t="s">
        <v>118</v>
      </c>
      <c r="AG5" s="273"/>
      <c r="AH5" s="273" t="s">
        <v>119</v>
      </c>
      <c r="AI5" s="273" t="s">
        <v>121</v>
      </c>
      <c r="AJ5" s="324" t="s">
        <v>120</v>
      </c>
    </row>
    <row r="6" spans="1:37" ht="27.75" customHeight="1" x14ac:dyDescent="0.25">
      <c r="U6"/>
      <c r="V6"/>
      <c r="W6"/>
      <c r="X6"/>
      <c r="Y6"/>
      <c r="Z6"/>
      <c r="AA6"/>
      <c r="AB6"/>
      <c r="AE6" s="325"/>
      <c r="AF6" s="326"/>
      <c r="AG6" s="326"/>
      <c r="AH6" s="326"/>
      <c r="AI6" s="326">
        <v>1</v>
      </c>
      <c r="AJ6" s="327"/>
    </row>
    <row r="7" spans="1:37" ht="27.75" customHeight="1" x14ac:dyDescent="0.25">
      <c r="U7"/>
      <c r="V7"/>
      <c r="W7"/>
      <c r="X7"/>
      <c r="Y7"/>
      <c r="Z7"/>
      <c r="AA7"/>
      <c r="AB7"/>
      <c r="AE7" s="330" t="s">
        <v>122</v>
      </c>
      <c r="AF7" s="330"/>
      <c r="AG7" s="330"/>
      <c r="AH7" s="330"/>
      <c r="AI7" s="330"/>
      <c r="AJ7" s="330"/>
      <c r="AK7" s="330"/>
    </row>
    <row r="8" spans="1:37" s="28" customFormat="1" ht="78" customHeight="1" x14ac:dyDescent="0.25">
      <c r="A8" s="62" t="s">
        <v>1</v>
      </c>
      <c r="B8" s="305" t="s">
        <v>255</v>
      </c>
      <c r="C8" s="305" t="s">
        <v>110</v>
      </c>
      <c r="D8" s="63" t="s">
        <v>267</v>
      </c>
      <c r="E8" s="63" t="s">
        <v>268</v>
      </c>
      <c r="F8" s="63" t="s">
        <v>261</v>
      </c>
      <c r="G8" s="63" t="s">
        <v>12</v>
      </c>
      <c r="H8" s="63" t="s">
        <v>3</v>
      </c>
      <c r="I8" s="63" t="s">
        <v>4</v>
      </c>
      <c r="J8" s="63" t="s">
        <v>257</v>
      </c>
      <c r="K8" s="60" t="s">
        <v>334</v>
      </c>
      <c r="L8" s="60" t="s">
        <v>335</v>
      </c>
      <c r="M8" s="60" t="s">
        <v>336</v>
      </c>
      <c r="N8" s="60" t="s">
        <v>338</v>
      </c>
      <c r="O8" s="63" t="s">
        <v>337</v>
      </c>
      <c r="P8" s="63" t="s">
        <v>138</v>
      </c>
      <c r="Q8" s="63" t="s">
        <v>139</v>
      </c>
      <c r="R8" s="60" t="s">
        <v>128</v>
      </c>
      <c r="S8" s="60" t="s">
        <v>129</v>
      </c>
      <c r="T8" s="60" t="s">
        <v>116</v>
      </c>
      <c r="U8" s="60" t="s">
        <v>269</v>
      </c>
      <c r="V8" s="60" t="s">
        <v>270</v>
      </c>
      <c r="W8" s="60" t="s">
        <v>271</v>
      </c>
      <c r="X8" s="65" t="s">
        <v>136</v>
      </c>
      <c r="Y8" s="65" t="s">
        <v>272</v>
      </c>
      <c r="Z8" s="65" t="s">
        <v>273</v>
      </c>
      <c r="AA8" s="65" t="s">
        <v>137</v>
      </c>
      <c r="AB8" s="65" t="s">
        <v>259</v>
      </c>
      <c r="AC8" s="65" t="s">
        <v>260</v>
      </c>
      <c r="AD8" s="87"/>
      <c r="AE8" s="84" t="s">
        <v>83</v>
      </c>
      <c r="AF8" s="338" t="s">
        <v>84</v>
      </c>
      <c r="AG8" s="338"/>
      <c r="AH8" s="84" t="s">
        <v>85</v>
      </c>
      <c r="AI8" s="84" t="s">
        <v>86</v>
      </c>
      <c r="AJ8" s="338">
        <v>620215</v>
      </c>
      <c r="AK8" s="338"/>
    </row>
    <row r="9" spans="1:37" s="28" customFormat="1" ht="13.5" customHeight="1" x14ac:dyDescent="0.25">
      <c r="A9" s="1" t="s">
        <v>0</v>
      </c>
      <c r="B9" s="276"/>
      <c r="C9" s="27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/>
      <c r="S9" s="3"/>
      <c r="T9" s="3"/>
      <c r="U9" s="21">
        <f>S9*$H$3*3.75/5</f>
        <v>0</v>
      </c>
      <c r="V9" s="237"/>
      <c r="W9" s="237"/>
      <c r="X9" s="3"/>
      <c r="Y9" s="237"/>
      <c r="Z9" s="237"/>
      <c r="AA9" s="3"/>
      <c r="AB9" s="3"/>
      <c r="AC9" s="1"/>
      <c r="AE9" s="264" t="s">
        <v>345</v>
      </c>
      <c r="AF9" s="92" t="s">
        <v>123</v>
      </c>
      <c r="AG9" s="264" t="s">
        <v>133</v>
      </c>
      <c r="AH9" s="93"/>
      <c r="AI9" s="93"/>
      <c r="AJ9" s="92" t="s">
        <v>123</v>
      </c>
      <c r="AK9" s="96" t="s">
        <v>351</v>
      </c>
    </row>
    <row r="10" spans="1:37" ht="14.45" x14ac:dyDescent="0.3">
      <c r="A10" s="94" t="s">
        <v>43</v>
      </c>
      <c r="B10" s="288"/>
      <c r="C10" s="28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"/>
      <c r="S10" s="3"/>
      <c r="T10" s="3"/>
      <c r="U10" s="21">
        <f>S10*$H$3</f>
        <v>0</v>
      </c>
      <c r="V10" s="237"/>
      <c r="W10" s="237"/>
      <c r="X10" s="3"/>
      <c r="Y10" s="237"/>
      <c r="Z10" s="237"/>
      <c r="AA10" s="3"/>
      <c r="AB10" s="3"/>
      <c r="AC10" s="1"/>
      <c r="AE10" s="246"/>
      <c r="AF10" s="56">
        <f>IF(AG10&gt;0,T10*(L10+O10)/(K10+N10),0)</f>
        <v>0</v>
      </c>
      <c r="AG10" s="218">
        <f>SUM(O10,L10)</f>
        <v>0</v>
      </c>
      <c r="AH10" s="1"/>
      <c r="AI10" s="1"/>
      <c r="AJ10" s="1"/>
      <c r="AK10" s="1"/>
    </row>
    <row r="11" spans="1:37" ht="14.45" x14ac:dyDescent="0.3">
      <c r="A11" s="2" t="s">
        <v>54</v>
      </c>
      <c r="B11" s="288">
        <v>20</v>
      </c>
      <c r="C11" s="288">
        <f>B11*$B$5*2</f>
        <v>960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94"/>
      <c r="O11" s="94"/>
      <c r="P11" s="8"/>
      <c r="Q11" s="8"/>
      <c r="R11" s="3"/>
      <c r="S11" s="3"/>
      <c r="T11" s="3"/>
      <c r="U11" s="21"/>
      <c r="V11" s="237"/>
      <c r="W11" s="237"/>
      <c r="X11" s="3"/>
      <c r="Y11" s="237"/>
      <c r="Z11" s="237"/>
      <c r="AA11" s="3"/>
      <c r="AB11" s="3"/>
      <c r="AC11" s="1"/>
      <c r="AE11" s="246"/>
      <c r="AF11" s="56"/>
      <c r="AG11" s="218"/>
      <c r="AH11" s="1"/>
      <c r="AI11" s="1"/>
      <c r="AJ11" s="1"/>
      <c r="AK11" s="1"/>
    </row>
    <row r="12" spans="1:37" x14ac:dyDescent="0.25">
      <c r="A12" s="1" t="s">
        <v>21</v>
      </c>
      <c r="B12" s="276">
        <v>1</v>
      </c>
      <c r="C12" s="276">
        <f>B12*$B$5*2</f>
        <v>48</v>
      </c>
      <c r="D12" s="236">
        <v>5</v>
      </c>
      <c r="E12" s="236">
        <v>10</v>
      </c>
      <c r="F12" s="236"/>
      <c r="G12" s="236"/>
      <c r="H12" s="237">
        <v>12</v>
      </c>
      <c r="I12" s="237">
        <v>15</v>
      </c>
      <c r="J12" s="237"/>
      <c r="K12" s="236">
        <v>16</v>
      </c>
      <c r="L12" s="236">
        <v>0</v>
      </c>
      <c r="M12" s="237">
        <f>+IF(F12&gt;0,$D$3/I12,0)</f>
        <v>0</v>
      </c>
      <c r="N12" s="237">
        <v>16</v>
      </c>
      <c r="O12" s="237">
        <v>0</v>
      </c>
      <c r="P12" s="237"/>
      <c r="Q12" s="237"/>
      <c r="R12" s="3">
        <f>D12+(E12*K12)</f>
        <v>165</v>
      </c>
      <c r="S12" s="3">
        <f>D12+(E12*N12)</f>
        <v>165</v>
      </c>
      <c r="T12" s="3">
        <f>R12+S12</f>
        <v>330</v>
      </c>
      <c r="U12" s="21">
        <f>T12*$H$3</f>
        <v>643500</v>
      </c>
      <c r="V12" s="237"/>
      <c r="W12" s="237"/>
      <c r="X12" s="3">
        <f>(V12+W12)*$H$4*$D$3*0.5</f>
        <v>0</v>
      </c>
      <c r="Y12" s="237"/>
      <c r="Z12" s="237"/>
      <c r="AA12" s="3">
        <f>(Y12+Z12)*$H$4*$D$3*0.5</f>
        <v>0</v>
      </c>
      <c r="AB12" s="3">
        <f t="shared" ref="AB12:AB22" si="0">T12+(X12+AA12)/$H$3</f>
        <v>330</v>
      </c>
      <c r="AC12" s="1"/>
      <c r="AE12" s="246"/>
      <c r="AF12" s="56">
        <f>IF(AG12&gt;0,T12*(L12+O12)/(K12+N12),0)</f>
        <v>0</v>
      </c>
      <c r="AG12" s="218">
        <f>SUM(O12,L12)</f>
        <v>0</v>
      </c>
      <c r="AH12" s="1"/>
      <c r="AI12" s="1"/>
      <c r="AJ12" s="1"/>
      <c r="AK12" s="1"/>
    </row>
    <row r="13" spans="1:37" x14ac:dyDescent="0.25">
      <c r="A13" s="1" t="s">
        <v>19</v>
      </c>
      <c r="B13" s="276">
        <v>10</v>
      </c>
      <c r="C13" s="288">
        <f>B13*$B$5*2</f>
        <v>480</v>
      </c>
      <c r="D13" s="236">
        <v>18</v>
      </c>
      <c r="E13" s="236">
        <v>38</v>
      </c>
      <c r="F13" s="236"/>
      <c r="G13" s="236"/>
      <c r="H13" s="237">
        <v>35</v>
      </c>
      <c r="I13" s="237">
        <v>15</v>
      </c>
      <c r="J13" s="237"/>
      <c r="K13" s="236">
        <v>6</v>
      </c>
      <c r="L13" s="236">
        <v>4</v>
      </c>
      <c r="M13" s="237">
        <f>+IF(F13&gt;0,$D$3/I13,0)</f>
        <v>0</v>
      </c>
      <c r="N13" s="237">
        <v>6</v>
      </c>
      <c r="O13" s="237">
        <v>4</v>
      </c>
      <c r="P13" s="237"/>
      <c r="Q13" s="237"/>
      <c r="R13" s="3">
        <f>D13+(E13*K13)</f>
        <v>246</v>
      </c>
      <c r="S13" s="3">
        <f>D13+(E13*N13)</f>
        <v>246</v>
      </c>
      <c r="T13" s="3">
        <f>R13+S13</f>
        <v>492</v>
      </c>
      <c r="U13" s="21">
        <f>T13*$H$3</f>
        <v>959400</v>
      </c>
      <c r="V13" s="237">
        <v>2</v>
      </c>
      <c r="W13" s="237">
        <v>2</v>
      </c>
      <c r="X13" s="3">
        <f t="shared" ref="X13:X22" si="1">(V13+W13)*$H$4*$D$3*0.5</f>
        <v>150000</v>
      </c>
      <c r="Y13" s="237">
        <v>1</v>
      </c>
      <c r="Z13" s="237">
        <v>1</v>
      </c>
      <c r="AA13" s="3">
        <f t="shared" ref="AA13:AA22" si="2">(Y13+Z13)*$H$4*$D$3*0.5</f>
        <v>75000</v>
      </c>
      <c r="AB13" s="3">
        <f t="shared" si="0"/>
        <v>607.38461538461536</v>
      </c>
      <c r="AC13" s="1"/>
      <c r="AE13" s="246"/>
      <c r="AF13" s="56">
        <f>IF(AG13&gt;0,(T13-D13*2)*(L13+O13)/(K13+N13),0)</f>
        <v>304</v>
      </c>
      <c r="AG13" s="218">
        <f>SUM(O13,L13)</f>
        <v>8</v>
      </c>
      <c r="AH13" s="1"/>
      <c r="AI13" s="1"/>
      <c r="AJ13" s="1"/>
      <c r="AK13" s="1"/>
    </row>
    <row r="14" spans="1:37" x14ac:dyDescent="0.25">
      <c r="A14" s="1" t="s">
        <v>24</v>
      </c>
      <c r="B14" s="306">
        <v>9</v>
      </c>
      <c r="C14" s="306">
        <f>B14*$B$5*2</f>
        <v>432</v>
      </c>
      <c r="D14" s="236">
        <v>16</v>
      </c>
      <c r="E14" s="236">
        <v>16</v>
      </c>
      <c r="F14" s="236"/>
      <c r="G14" s="236"/>
      <c r="H14" s="237">
        <v>35</v>
      </c>
      <c r="I14" s="237">
        <v>15</v>
      </c>
      <c r="J14" s="237"/>
      <c r="K14" s="236">
        <v>6</v>
      </c>
      <c r="L14" s="236">
        <v>0</v>
      </c>
      <c r="M14" s="237">
        <f>+IF(F14&gt;0,$D$3/I14,0)</f>
        <v>0</v>
      </c>
      <c r="N14" s="237">
        <v>6</v>
      </c>
      <c r="O14" s="237">
        <v>0</v>
      </c>
      <c r="P14" s="237"/>
      <c r="Q14" s="237"/>
      <c r="R14" s="3">
        <f>D14+(E14*K14)</f>
        <v>112</v>
      </c>
      <c r="S14" s="3">
        <f>D14+(E14*N14)</f>
        <v>112</v>
      </c>
      <c r="T14" s="3">
        <f>R14+S14</f>
        <v>224</v>
      </c>
      <c r="U14" s="21">
        <f>T14*$H$3</f>
        <v>436800</v>
      </c>
      <c r="V14" s="237">
        <v>1</v>
      </c>
      <c r="W14" s="237">
        <v>1</v>
      </c>
      <c r="X14" s="3">
        <f t="shared" si="1"/>
        <v>75000</v>
      </c>
      <c r="Y14" s="237">
        <v>1</v>
      </c>
      <c r="Z14" s="237">
        <v>1</v>
      </c>
      <c r="AA14" s="3">
        <f t="shared" si="2"/>
        <v>75000</v>
      </c>
      <c r="AB14" s="3">
        <f t="shared" si="0"/>
        <v>300.92307692307691</v>
      </c>
      <c r="AC14" s="1"/>
      <c r="AE14" s="246">
        <v>0</v>
      </c>
      <c r="AF14" s="56">
        <f>IF(AG14&gt;0,(T14-D14*2)*(L14+O14)/(K14+N14),0)</f>
        <v>0</v>
      </c>
      <c r="AG14" s="218">
        <f>SUM(O14,L14)</f>
        <v>0</v>
      </c>
      <c r="AH14" s="1"/>
      <c r="AI14" s="1"/>
      <c r="AJ14" s="1"/>
      <c r="AK14" s="1"/>
    </row>
    <row r="15" spans="1:37" x14ac:dyDescent="0.25">
      <c r="A15" s="15" t="s">
        <v>44</v>
      </c>
      <c r="B15" s="307"/>
      <c r="C15" s="307"/>
      <c r="D15" s="236"/>
      <c r="E15" s="236"/>
      <c r="F15" s="236"/>
      <c r="G15" s="236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3"/>
      <c r="S15" s="3"/>
      <c r="T15" s="3"/>
      <c r="U15" s="21">
        <f>S15*$H$3*3.75/5</f>
        <v>0</v>
      </c>
      <c r="V15" s="237"/>
      <c r="W15" s="237"/>
      <c r="X15" s="3"/>
      <c r="Y15" s="237"/>
      <c r="Z15" s="237"/>
      <c r="AA15" s="3"/>
      <c r="AB15" s="3">
        <f t="shared" si="0"/>
        <v>0</v>
      </c>
      <c r="AC15" s="1"/>
      <c r="AE15" s="246"/>
      <c r="AF15" s="56"/>
      <c r="AG15" s="218"/>
      <c r="AH15" s="1"/>
      <c r="AI15" s="1"/>
      <c r="AJ15" s="1"/>
      <c r="AK15" s="1"/>
    </row>
    <row r="16" spans="1:37" x14ac:dyDescent="0.25">
      <c r="A16" s="2" t="s">
        <v>115</v>
      </c>
      <c r="B16" s="288">
        <f>SUM(B17:B21)</f>
        <v>30</v>
      </c>
      <c r="C16" s="288">
        <f>B16*$B$5*2</f>
        <v>1440</v>
      </c>
      <c r="D16" s="236"/>
      <c r="E16" s="236"/>
      <c r="F16" s="236"/>
      <c r="G16" s="236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3"/>
      <c r="S16" s="3"/>
      <c r="T16" s="3"/>
      <c r="U16" s="21"/>
      <c r="V16" s="237"/>
      <c r="W16" s="237"/>
      <c r="X16" s="3"/>
      <c r="Y16" s="237"/>
      <c r="Z16" s="237"/>
      <c r="AA16" s="3"/>
      <c r="AB16" s="3">
        <f t="shared" si="0"/>
        <v>0</v>
      </c>
      <c r="AC16" s="1"/>
      <c r="AE16" s="246"/>
      <c r="AF16" s="56"/>
      <c r="AG16" s="68"/>
      <c r="AH16" s="1"/>
      <c r="AI16" s="1"/>
      <c r="AJ16" s="1"/>
      <c r="AK16" s="1"/>
    </row>
    <row r="17" spans="1:37" x14ac:dyDescent="0.25">
      <c r="A17" s="1" t="s">
        <v>285</v>
      </c>
      <c r="B17" s="276">
        <v>5</v>
      </c>
      <c r="C17" s="288">
        <f>B17*$B$5*2</f>
        <v>240</v>
      </c>
      <c r="D17" s="236">
        <v>12</v>
      </c>
      <c r="E17" s="236">
        <v>16</v>
      </c>
      <c r="F17" s="236"/>
      <c r="G17" s="236"/>
      <c r="H17" s="237">
        <v>24</v>
      </c>
      <c r="I17" s="237">
        <v>15</v>
      </c>
      <c r="J17" s="237"/>
      <c r="K17" s="236">
        <v>10</v>
      </c>
      <c r="L17" s="236">
        <v>0</v>
      </c>
      <c r="M17" s="237">
        <f>+IF(F17&gt;0,$D$3/I17,0)</f>
        <v>0</v>
      </c>
      <c r="N17" s="237">
        <v>10</v>
      </c>
      <c r="O17" s="237">
        <v>0</v>
      </c>
      <c r="P17" s="237"/>
      <c r="Q17" s="237"/>
      <c r="R17" s="3">
        <f>D17+(E17*K17)</f>
        <v>172</v>
      </c>
      <c r="S17" s="3">
        <f>D17+(E17*N17)</f>
        <v>172</v>
      </c>
      <c r="T17" s="3">
        <f>R17+S17</f>
        <v>344</v>
      </c>
      <c r="U17" s="21">
        <f t="shared" ref="U17:U22" si="3">T17*$H$3</f>
        <v>670800</v>
      </c>
      <c r="V17" s="237">
        <v>1</v>
      </c>
      <c r="W17" s="237">
        <v>1</v>
      </c>
      <c r="X17" s="3">
        <f t="shared" si="1"/>
        <v>75000</v>
      </c>
      <c r="Y17" s="237"/>
      <c r="Z17" s="237"/>
      <c r="AA17" s="3">
        <f t="shared" si="2"/>
        <v>0</v>
      </c>
      <c r="AB17" s="3">
        <f t="shared" si="0"/>
        <v>382.46153846153845</v>
      </c>
      <c r="AC17" s="1"/>
      <c r="AE17" s="246">
        <f t="shared" ref="AE17" si="4">D16*$AE$6*2</f>
        <v>0</v>
      </c>
      <c r="AF17" s="56">
        <f>IF(AG17&gt;0,(T17-D17*2)*(L17+O17)/(K17+N17),0)</f>
        <v>0</v>
      </c>
      <c r="AG17" s="218">
        <f>SUM(O17,L17)</f>
        <v>0</v>
      </c>
      <c r="AH17" s="1"/>
      <c r="AI17" s="1"/>
      <c r="AJ17" s="1"/>
      <c r="AK17" s="1"/>
    </row>
    <row r="18" spans="1:37" x14ac:dyDescent="0.25">
      <c r="A18" s="1" t="s">
        <v>20</v>
      </c>
      <c r="B18" s="276">
        <v>4</v>
      </c>
      <c r="C18" s="288">
        <f>B18*$B$5*2</f>
        <v>192</v>
      </c>
      <c r="D18" s="236">
        <v>10</v>
      </c>
      <c r="E18" s="236">
        <v>10</v>
      </c>
      <c r="F18" s="236"/>
      <c r="G18" s="236"/>
      <c r="H18" s="237">
        <v>35</v>
      </c>
      <c r="I18" s="237">
        <v>15</v>
      </c>
      <c r="J18" s="237"/>
      <c r="K18" s="236">
        <v>6</v>
      </c>
      <c r="L18" s="236">
        <v>2</v>
      </c>
      <c r="M18" s="237">
        <f>+IF(F18&gt;0,$D$3/I18,0)</f>
        <v>0</v>
      </c>
      <c r="N18" s="237">
        <v>6</v>
      </c>
      <c r="O18" s="237">
        <v>2</v>
      </c>
      <c r="P18" s="237"/>
      <c r="Q18" s="237"/>
      <c r="R18" s="3">
        <f>D18+(E18*K18)</f>
        <v>70</v>
      </c>
      <c r="S18" s="3">
        <f>D18+(E18*N18)</f>
        <v>70</v>
      </c>
      <c r="T18" s="3">
        <f>R18+S18</f>
        <v>140</v>
      </c>
      <c r="U18" s="21">
        <f t="shared" si="3"/>
        <v>273000</v>
      </c>
      <c r="V18" s="237">
        <v>1</v>
      </c>
      <c r="W18" s="237">
        <v>1</v>
      </c>
      <c r="X18" s="3">
        <f t="shared" si="1"/>
        <v>75000</v>
      </c>
      <c r="Y18" s="237"/>
      <c r="Z18" s="237"/>
      <c r="AA18" s="3">
        <f t="shared" si="2"/>
        <v>0</v>
      </c>
      <c r="AB18" s="3">
        <f t="shared" si="0"/>
        <v>178.46153846153845</v>
      </c>
      <c r="AC18" s="1"/>
      <c r="AE18" s="246">
        <v>0</v>
      </c>
      <c r="AF18" s="56">
        <f>IF(AG18&gt;0,(T18-D18*2)*(L18+O18)/(K18+N18),0)</f>
        <v>40</v>
      </c>
      <c r="AG18" s="218">
        <f>SUM(O18,L18)</f>
        <v>4</v>
      </c>
      <c r="AH18" s="1"/>
      <c r="AI18" s="1"/>
      <c r="AJ18" s="1"/>
      <c r="AK18" s="1"/>
    </row>
    <row r="19" spans="1:37" x14ac:dyDescent="0.25">
      <c r="A19" s="1" t="s">
        <v>23</v>
      </c>
      <c r="B19" s="276">
        <v>9</v>
      </c>
      <c r="C19" s="288">
        <f>B19*$B$5*2</f>
        <v>432</v>
      </c>
      <c r="D19" s="236">
        <v>18</v>
      </c>
      <c r="E19" s="236">
        <v>14</v>
      </c>
      <c r="F19" s="236"/>
      <c r="G19" s="236"/>
      <c r="H19" s="237">
        <v>35</v>
      </c>
      <c r="I19" s="237">
        <v>15</v>
      </c>
      <c r="J19" s="237"/>
      <c r="K19" s="236">
        <v>6</v>
      </c>
      <c r="L19" s="236">
        <v>2</v>
      </c>
      <c r="M19" s="237">
        <f>+IF(F19&gt;0,$D$3/I19,0)</f>
        <v>0</v>
      </c>
      <c r="N19" s="237">
        <v>6</v>
      </c>
      <c r="O19" s="237">
        <v>2</v>
      </c>
      <c r="P19" s="237"/>
      <c r="Q19" s="237"/>
      <c r="R19" s="3">
        <f>D19+(E19*K19)</f>
        <v>102</v>
      </c>
      <c r="S19" s="3">
        <f>D19+(E19*N19)</f>
        <v>102</v>
      </c>
      <c r="T19" s="3">
        <f>R19+S19</f>
        <v>204</v>
      </c>
      <c r="U19" s="21">
        <f t="shared" si="3"/>
        <v>397800</v>
      </c>
      <c r="V19" s="237">
        <v>1</v>
      </c>
      <c r="W19" s="237">
        <v>1</v>
      </c>
      <c r="X19" s="3">
        <f t="shared" si="1"/>
        <v>75000</v>
      </c>
      <c r="Y19" s="237">
        <v>1</v>
      </c>
      <c r="Z19" s="237"/>
      <c r="AA19" s="3">
        <f t="shared" si="2"/>
        <v>37500</v>
      </c>
      <c r="AB19" s="3">
        <f t="shared" si="0"/>
        <v>261.69230769230768</v>
      </c>
      <c r="AC19" s="1"/>
      <c r="AE19" s="246">
        <v>0</v>
      </c>
      <c r="AF19" s="56">
        <f>IF(AG19&gt;0,(T19-D19*2)*(L19+O19)/(K19+N19),0)</f>
        <v>56</v>
      </c>
      <c r="AG19" s="218">
        <f>SUM(O19,L19)</f>
        <v>4</v>
      </c>
      <c r="AH19" s="1"/>
      <c r="AI19" s="1"/>
      <c r="AJ19" s="1"/>
      <c r="AK19" s="1"/>
    </row>
    <row r="20" spans="1:37" x14ac:dyDescent="0.25">
      <c r="A20" s="1" t="s">
        <v>22</v>
      </c>
      <c r="B20" s="276">
        <v>12</v>
      </c>
      <c r="C20" s="288">
        <f>B20*$B$5*2</f>
        <v>576</v>
      </c>
      <c r="D20" s="236">
        <v>24</v>
      </c>
      <c r="E20" s="236">
        <v>20</v>
      </c>
      <c r="F20" s="236"/>
      <c r="G20" s="236"/>
      <c r="H20" s="237">
        <v>35</v>
      </c>
      <c r="I20" s="237">
        <v>15</v>
      </c>
      <c r="J20" s="237"/>
      <c r="K20" s="236">
        <v>6</v>
      </c>
      <c r="L20" s="236">
        <v>0</v>
      </c>
      <c r="M20" s="237">
        <f>+IF(F20&gt;0,$D$3/I20,0)</f>
        <v>0</v>
      </c>
      <c r="N20" s="237">
        <v>6</v>
      </c>
      <c r="O20" s="237">
        <v>0</v>
      </c>
      <c r="P20" s="237"/>
      <c r="Q20" s="237"/>
      <c r="R20" s="3">
        <f>D20+(E20*K20)</f>
        <v>144</v>
      </c>
      <c r="S20" s="3">
        <f>D20+(E20*N20)</f>
        <v>144</v>
      </c>
      <c r="T20" s="3">
        <f>R20+S20</f>
        <v>288</v>
      </c>
      <c r="U20" s="21">
        <f t="shared" si="3"/>
        <v>561600</v>
      </c>
      <c r="V20" s="237">
        <v>1</v>
      </c>
      <c r="W20" s="237">
        <v>1</v>
      </c>
      <c r="X20" s="3">
        <f t="shared" si="1"/>
        <v>75000</v>
      </c>
      <c r="Y20" s="237">
        <v>1</v>
      </c>
      <c r="Z20" s="237"/>
      <c r="AA20" s="3">
        <f t="shared" si="2"/>
        <v>37500</v>
      </c>
      <c r="AB20" s="3">
        <f t="shared" si="0"/>
        <v>345.69230769230768</v>
      </c>
      <c r="AC20" s="1"/>
      <c r="AE20" s="246">
        <v>0</v>
      </c>
      <c r="AF20" s="56">
        <f>IF(AG20&gt;0,(T20-D20*2)*(L20+O20)/(K20+N20),0)</f>
        <v>0</v>
      </c>
      <c r="AG20" s="218">
        <f>SUM(O20,L20)</f>
        <v>0</v>
      </c>
      <c r="AH20" s="1"/>
      <c r="AI20" s="1"/>
      <c r="AJ20" s="1"/>
      <c r="AK20" s="1"/>
    </row>
    <row r="21" spans="1:37" hidden="1" x14ac:dyDescent="0.25">
      <c r="A21" s="1" t="s">
        <v>25</v>
      </c>
      <c r="B21" s="276"/>
      <c r="C21" s="276"/>
      <c r="D21" s="236">
        <v>0</v>
      </c>
      <c r="E21" s="236"/>
      <c r="F21" s="236"/>
      <c r="G21" s="236">
        <v>0</v>
      </c>
      <c r="H21" s="237"/>
      <c r="I21" s="237"/>
      <c r="J21" s="237">
        <v>0</v>
      </c>
      <c r="K21" s="237">
        <v>0</v>
      </c>
      <c r="L21" s="237">
        <v>0</v>
      </c>
      <c r="M21" s="237"/>
      <c r="N21" s="237">
        <v>0</v>
      </c>
      <c r="O21" s="237">
        <v>0</v>
      </c>
      <c r="P21" s="237">
        <v>0</v>
      </c>
      <c r="Q21" s="237">
        <v>0</v>
      </c>
      <c r="R21" s="3">
        <f>G21*P21</f>
        <v>0</v>
      </c>
      <c r="S21" s="3">
        <f>G21*Q21</f>
        <v>0</v>
      </c>
      <c r="T21" s="3">
        <f>R21+S21</f>
        <v>0</v>
      </c>
      <c r="U21" s="21">
        <f t="shared" si="3"/>
        <v>0</v>
      </c>
      <c r="V21" s="237"/>
      <c r="W21" s="237"/>
      <c r="X21" s="3">
        <f t="shared" si="1"/>
        <v>0</v>
      </c>
      <c r="Y21" s="237"/>
      <c r="Z21" s="237"/>
      <c r="AA21" s="3">
        <f t="shared" si="2"/>
        <v>0</v>
      </c>
      <c r="AB21" s="3">
        <f t="shared" si="0"/>
        <v>0</v>
      </c>
      <c r="AC21" s="1"/>
      <c r="AE21" s="246"/>
      <c r="AF21" s="56">
        <f t="shared" ref="AF21" si="5">IF(AG21&gt;0,T21*(L21+O21)/(K21+N21),0)</f>
        <v>0</v>
      </c>
      <c r="AG21" s="218">
        <f t="shared" ref="AG21" si="6">SUM(O20,L20)</f>
        <v>0</v>
      </c>
      <c r="AH21" s="1"/>
      <c r="AI21" s="1"/>
      <c r="AJ21" s="1"/>
      <c r="AK21" s="68"/>
    </row>
    <row r="22" spans="1:37" x14ac:dyDescent="0.25">
      <c r="A22" s="1" t="s">
        <v>42</v>
      </c>
      <c r="B22" s="276"/>
      <c r="C22" s="276"/>
      <c r="D22" s="236">
        <v>14</v>
      </c>
      <c r="E22" s="236"/>
      <c r="F22" s="236"/>
      <c r="G22" s="236"/>
      <c r="H22" s="237"/>
      <c r="I22" s="237">
        <v>15</v>
      </c>
      <c r="J22" s="237"/>
      <c r="K22" s="238"/>
      <c r="L22" s="238"/>
      <c r="M22" s="237">
        <f>+IF(F22&gt;0,$D$3/I22,0)</f>
        <v>0</v>
      </c>
      <c r="N22" s="239"/>
      <c r="O22" s="239"/>
      <c r="P22" s="239"/>
      <c r="Q22" s="239"/>
      <c r="R22" s="21"/>
      <c r="S22" s="3">
        <f>D22+(E22*K22)+(F22*M22)*2</f>
        <v>14</v>
      </c>
      <c r="T22" s="22">
        <f>S22*2</f>
        <v>28</v>
      </c>
      <c r="U22" s="21">
        <f t="shared" si="3"/>
        <v>54600</v>
      </c>
      <c r="V22" s="237"/>
      <c r="W22" s="237"/>
      <c r="X22" s="3">
        <f t="shared" si="1"/>
        <v>0</v>
      </c>
      <c r="Y22" s="237"/>
      <c r="Z22" s="237"/>
      <c r="AA22" s="3">
        <f t="shared" si="2"/>
        <v>0</v>
      </c>
      <c r="AB22" s="3">
        <f t="shared" si="0"/>
        <v>28</v>
      </c>
      <c r="AC22" s="1"/>
      <c r="AE22" s="246"/>
      <c r="AF22" s="56">
        <f>IF(AG22&gt;0,(T22-D22*2)*(L22+O22)/(K22+N22),0)</f>
        <v>0</v>
      </c>
      <c r="AG22" s="218">
        <f>SUM(O22,L22)</f>
        <v>0</v>
      </c>
      <c r="AH22" s="1"/>
      <c r="AI22" s="2"/>
      <c r="AJ22" s="1"/>
      <c r="AK22" s="246">
        <v>0</v>
      </c>
    </row>
    <row r="23" spans="1:37" x14ac:dyDescent="0.25">
      <c r="A23" s="1"/>
      <c r="B23" s="276"/>
      <c r="C23" s="27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1"/>
      <c r="S23" s="3"/>
      <c r="T23" s="22"/>
      <c r="U23" s="21"/>
      <c r="V23" s="237"/>
      <c r="W23" s="237"/>
      <c r="X23" s="3"/>
      <c r="Y23" s="237"/>
      <c r="Z23" s="237"/>
      <c r="AA23" s="3"/>
      <c r="AB23" s="3"/>
      <c r="AC23" s="1"/>
      <c r="AE23" s="246">
        <v>4</v>
      </c>
      <c r="AF23" s="56">
        <f>IF(AG23&gt;0,(T23-D23*2)*(L23+O23)/(K23+N23),0)</f>
        <v>0</v>
      </c>
      <c r="AG23" s="218"/>
      <c r="AH23" s="2"/>
      <c r="AI23" s="1"/>
      <c r="AJ23" s="1"/>
      <c r="AK23" s="1"/>
    </row>
    <row r="24" spans="1:37" ht="45" x14ac:dyDescent="0.25">
      <c r="A24" s="6" t="s">
        <v>56</v>
      </c>
      <c r="B24" s="288"/>
      <c r="C24" s="288">
        <f>SUM(C11,C16)</f>
        <v>2400</v>
      </c>
      <c r="D24" s="240">
        <f>SUM(D9:D19)</f>
        <v>79</v>
      </c>
      <c r="E24" s="240">
        <f>SUM(E9:E19)</f>
        <v>104</v>
      </c>
      <c r="F24" s="240">
        <f>SUM(F9:F19)</f>
        <v>0</v>
      </c>
      <c r="G24" s="240">
        <v>0</v>
      </c>
      <c r="H24" s="237"/>
      <c r="I24" s="237"/>
      <c r="J24" s="237"/>
      <c r="K24" s="241"/>
      <c r="L24" s="242">
        <f>SUM(L9:L22)</f>
        <v>8</v>
      </c>
      <c r="M24" s="241"/>
      <c r="N24" s="243"/>
      <c r="O24" s="242">
        <f>SUM(O9:O22)</f>
        <v>8</v>
      </c>
      <c r="P24" s="243"/>
      <c r="Q24" s="243"/>
      <c r="R24" s="4">
        <f>SUM(R9:R22)</f>
        <v>1011</v>
      </c>
      <c r="S24" s="4">
        <f>SUM(S9:S22)</f>
        <v>1025</v>
      </c>
      <c r="T24" s="23">
        <f>SUM(T9:T22)</f>
        <v>2050</v>
      </c>
      <c r="U24" s="88">
        <f>SUM(U9:U22)</f>
        <v>3997500</v>
      </c>
      <c r="V24" s="9">
        <f>SUM(V12:V19)</f>
        <v>6</v>
      </c>
      <c r="W24" s="9">
        <f>SUM(W12:W19)</f>
        <v>6</v>
      </c>
      <c r="X24" s="4">
        <f>SUM(X12:X20)</f>
        <v>525000</v>
      </c>
      <c r="Y24" s="9">
        <f>SUM(Y12:Y20)</f>
        <v>4</v>
      </c>
      <c r="Z24" s="9">
        <f>SUM(Z12:Z19)</f>
        <v>2</v>
      </c>
      <c r="AA24" s="4">
        <f>SUM(AA12:AA20)</f>
        <v>225000</v>
      </c>
      <c r="AB24" s="4">
        <f>SUM(AB12:AB22)</f>
        <v>2434.6153846153848</v>
      </c>
      <c r="AC24" s="4">
        <f>SUM(U24:AA24)</f>
        <v>4747518</v>
      </c>
      <c r="AD24" s="267" t="s">
        <v>363</v>
      </c>
      <c r="AE24" s="2">
        <f>SUM(AE12:AE23)</f>
        <v>4</v>
      </c>
      <c r="AF24" s="2">
        <f t="shared" ref="AF24" si="7">SUM(AF12:AF23)</f>
        <v>400</v>
      </c>
      <c r="AG24" s="2"/>
      <c r="AH24" s="2"/>
      <c r="AI24" s="2">
        <f>AI25/5</f>
        <v>500</v>
      </c>
      <c r="AJ24" s="2">
        <f>SUM(AJ13:AJ23)*5</f>
        <v>0</v>
      </c>
      <c r="AK24" s="2">
        <f>SUM(AK13:AK23)</f>
        <v>0</v>
      </c>
    </row>
    <row r="25" spans="1:37" s="7" customFormat="1" ht="30" x14ac:dyDescent="0.25">
      <c r="A25" s="6"/>
      <c r="B25" s="6"/>
      <c r="C25" s="6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4"/>
      <c r="S25" s="4"/>
      <c r="T25" s="4"/>
      <c r="U25" s="20"/>
      <c r="V25" s="240"/>
      <c r="W25" s="240"/>
      <c r="X25" s="4"/>
      <c r="Y25" s="240"/>
      <c r="Z25" s="240"/>
      <c r="AA25" s="4"/>
      <c r="AB25" s="4"/>
      <c r="AC25" s="2"/>
      <c r="AD25" s="268" t="s">
        <v>362</v>
      </c>
      <c r="AE25" s="2">
        <f>SUM(AE12:AE23)*5</f>
        <v>20</v>
      </c>
      <c r="AF25" s="2">
        <f>SUM(AF13:AF23)*5</f>
        <v>2000</v>
      </c>
      <c r="AG25" s="99"/>
      <c r="AH25" s="1"/>
      <c r="AI25" s="2">
        <f>(X24+AA24)/H4</f>
        <v>2500</v>
      </c>
      <c r="AJ25" s="2"/>
      <c r="AK25" s="2"/>
    </row>
    <row r="26" spans="1:37" s="7" customFormat="1" x14ac:dyDescent="0.25">
      <c r="A26" s="1" t="s">
        <v>41</v>
      </c>
      <c r="B26" s="68"/>
      <c r="C26" s="68"/>
      <c r="D26" s="237">
        <v>4</v>
      </c>
      <c r="E26" s="237"/>
      <c r="F26" s="237"/>
      <c r="G26" s="237"/>
      <c r="H26" s="237"/>
      <c r="I26" s="237">
        <v>15</v>
      </c>
      <c r="J26" s="237"/>
      <c r="K26" s="237"/>
      <c r="L26" s="237"/>
      <c r="M26" s="237">
        <f>+IF(F26&gt;0,$D$3/I26,0)</f>
        <v>0</v>
      </c>
      <c r="N26" s="237"/>
      <c r="O26" s="237"/>
      <c r="P26" s="237"/>
      <c r="Q26" s="237"/>
      <c r="R26" s="3"/>
      <c r="S26" s="3">
        <f>D26+(E26*K26)+(F26*M26)</f>
        <v>4</v>
      </c>
      <c r="T26" s="3">
        <f>S26*2</f>
        <v>8</v>
      </c>
      <c r="U26" s="89">
        <f>T26*$H$3</f>
        <v>15600</v>
      </c>
      <c r="V26" s="237"/>
      <c r="W26" s="237"/>
      <c r="X26" s="3"/>
      <c r="Y26" s="237"/>
      <c r="Z26" s="237"/>
      <c r="AA26" s="3"/>
      <c r="AB26" s="3"/>
      <c r="AC26" s="1"/>
      <c r="AE26" s="2"/>
      <c r="AF26" s="1"/>
      <c r="AG26" s="1"/>
      <c r="AH26" s="1"/>
      <c r="AI26" s="3"/>
      <c r="AJ26" s="1"/>
      <c r="AK26" s="1"/>
    </row>
    <row r="27" spans="1:37" x14ac:dyDescent="0.25">
      <c r="A27" s="68" t="s">
        <v>13</v>
      </c>
      <c r="B27" s="68"/>
      <c r="C27" s="68"/>
      <c r="D27" s="237"/>
      <c r="E27" s="237">
        <v>24</v>
      </c>
      <c r="F27" s="237"/>
      <c r="G27" s="237"/>
      <c r="H27" s="237">
        <v>6</v>
      </c>
      <c r="I27" s="237"/>
      <c r="J27" s="237"/>
      <c r="K27" s="237">
        <v>36</v>
      </c>
      <c r="L27" s="237"/>
      <c r="M27" s="237"/>
      <c r="N27" s="237">
        <v>36</v>
      </c>
      <c r="O27" s="237"/>
      <c r="P27" s="237"/>
      <c r="Q27" s="237"/>
      <c r="R27" s="3">
        <f>E27*K27</f>
        <v>864</v>
      </c>
      <c r="S27" s="3">
        <f>E27*N27</f>
        <v>864</v>
      </c>
      <c r="T27" s="4">
        <f>R27+S27</f>
        <v>1728</v>
      </c>
      <c r="U27" s="13">
        <f>T27*K3</f>
        <v>742735.87199999997</v>
      </c>
      <c r="V27" s="237"/>
      <c r="W27" s="237"/>
      <c r="X27" s="3"/>
      <c r="Y27" s="237"/>
      <c r="Z27" s="237"/>
      <c r="AA27" s="3"/>
      <c r="AB27" s="3"/>
      <c r="AC27" s="1"/>
      <c r="AE27" s="1">
        <f>T26*0.1</f>
        <v>0.8</v>
      </c>
      <c r="AF27" s="1"/>
      <c r="AG27" s="1"/>
      <c r="AH27" s="1"/>
      <c r="AI27" s="2"/>
      <c r="AJ27" s="1"/>
      <c r="AK27" s="3"/>
    </row>
    <row r="28" spans="1:37" x14ac:dyDescent="0.25">
      <c r="A28" s="2" t="s">
        <v>56</v>
      </c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f>SUM(T25:T27)</f>
        <v>1736</v>
      </c>
      <c r="U28" s="90">
        <f>SUM(U25:U27)</f>
        <v>758335.87199999997</v>
      </c>
      <c r="V28" s="4"/>
      <c r="W28" s="4"/>
      <c r="X28" s="4"/>
      <c r="Y28" s="4"/>
      <c r="Z28" s="4"/>
      <c r="AA28" s="4"/>
      <c r="AB28" s="4"/>
      <c r="AC28" s="2"/>
      <c r="AE28" s="1"/>
      <c r="AF28" s="1"/>
      <c r="AG28" s="1"/>
      <c r="AH28" s="2"/>
      <c r="AI28" s="1"/>
      <c r="AJ28" s="2"/>
      <c r="AK28" s="2"/>
    </row>
    <row r="29" spans="1:37" s="7" customFormat="1" ht="15.75" thickBo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5"/>
      <c r="V29" s="5"/>
      <c r="W29" s="5"/>
      <c r="X29" s="5"/>
      <c r="Y29" s="5"/>
      <c r="Z29" s="5"/>
      <c r="AA29" s="5"/>
      <c r="AB29" s="5"/>
      <c r="AC29"/>
      <c r="AE29" s="1">
        <f>SUM(AE25:AE27)*5</f>
        <v>104</v>
      </c>
      <c r="AF29" s="1"/>
      <c r="AG29" s="1"/>
      <c r="AH29" s="1"/>
      <c r="AI29" s="1"/>
      <c r="AJ29"/>
      <c r="AK29"/>
    </row>
    <row r="30" spans="1:37" ht="16.5" thickBot="1" x14ac:dyDescent="0.3">
      <c r="A30" s="16"/>
      <c r="B30" s="16"/>
      <c r="C30" s="16"/>
      <c r="D30" s="335" t="s">
        <v>105</v>
      </c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7"/>
      <c r="Q30" s="132"/>
      <c r="R30" s="132"/>
    </row>
    <row r="31" spans="1:37" x14ac:dyDescent="0.25">
      <c r="A31" t="s">
        <v>242</v>
      </c>
    </row>
    <row r="32" spans="1:37" x14ac:dyDescent="0.25">
      <c r="A32" s="1" t="s">
        <v>240</v>
      </c>
      <c r="B32" s="276">
        <v>0</v>
      </c>
      <c r="C32" s="308">
        <f>B32*$B$5*2</f>
        <v>0</v>
      </c>
      <c r="D32" s="244">
        <v>0</v>
      </c>
      <c r="E32" s="244">
        <v>2</v>
      </c>
      <c r="F32" s="244"/>
      <c r="G32" s="244"/>
      <c r="H32" s="244">
        <v>35</v>
      </c>
      <c r="I32" s="244">
        <v>15</v>
      </c>
      <c r="J32" s="244"/>
      <c r="K32" s="245">
        <v>8</v>
      </c>
      <c r="L32" s="245"/>
      <c r="M32" s="244">
        <f>+IF(F32&gt;0,$D$3/I32,0)</f>
        <v>0</v>
      </c>
      <c r="N32" s="244">
        <v>8</v>
      </c>
      <c r="O32" s="244"/>
      <c r="P32" s="244"/>
      <c r="Q32" s="244"/>
      <c r="R32" s="3">
        <f>D32+(E32*K32)</f>
        <v>16</v>
      </c>
      <c r="S32" s="3">
        <f>D32+(E32*N32)</f>
        <v>16</v>
      </c>
      <c r="T32" s="3">
        <f>R32+S32</f>
        <v>32</v>
      </c>
      <c r="U32" s="21">
        <f>T32*$H$3</f>
        <v>62400</v>
      </c>
      <c r="V32" s="125"/>
      <c r="W32" s="125">
        <v>1</v>
      </c>
      <c r="X32" s="3">
        <f>(V32+W32)*$H$4*$D$3*0.7</f>
        <v>52500</v>
      </c>
      <c r="Y32" s="125"/>
      <c r="Z32" s="125">
        <v>2</v>
      </c>
      <c r="AA32" s="3">
        <f>(Y32+Z32)*$H$4*$D$3*0.7</f>
        <v>105000</v>
      </c>
      <c r="AB32" s="3">
        <f>T32+(X32+AA32)/$H$3</f>
        <v>112.76923076923077</v>
      </c>
      <c r="AC32" s="1"/>
      <c r="AJ32" s="1"/>
      <c r="AK32" s="1"/>
    </row>
    <row r="33" spans="1:37" x14ac:dyDescent="0.25">
      <c r="A33" s="1" t="s">
        <v>241</v>
      </c>
      <c r="B33" s="276">
        <v>0</v>
      </c>
      <c r="C33" s="308">
        <f>B33*$B$5*2</f>
        <v>0</v>
      </c>
      <c r="D33" s="244">
        <v>0</v>
      </c>
      <c r="E33" s="244">
        <v>2</v>
      </c>
      <c r="F33" s="244"/>
      <c r="G33" s="244"/>
      <c r="H33" s="244">
        <v>35</v>
      </c>
      <c r="I33" s="244">
        <v>15</v>
      </c>
      <c r="J33" s="244"/>
      <c r="K33" s="245">
        <v>8</v>
      </c>
      <c r="L33" s="245"/>
      <c r="M33" s="244">
        <f>+IF(F33&gt;0,$D$3/I33,0)</f>
        <v>0</v>
      </c>
      <c r="N33" s="244">
        <v>8</v>
      </c>
      <c r="O33" s="244"/>
      <c r="P33" s="244"/>
      <c r="Q33" s="244"/>
      <c r="R33" s="3">
        <f>D33+(E33*K33)</f>
        <v>16</v>
      </c>
      <c r="S33" s="3">
        <f>D33+(E33*N33)</f>
        <v>16</v>
      </c>
      <c r="T33" s="3">
        <f>R33+S33</f>
        <v>32</v>
      </c>
      <c r="U33" s="21">
        <f>T33*$H$3</f>
        <v>62400</v>
      </c>
      <c r="V33" s="125">
        <v>1</v>
      </c>
      <c r="W33" s="125"/>
      <c r="X33" s="3">
        <f>(V33+W33)*$H$4*$D$3*0.7</f>
        <v>52500</v>
      </c>
      <c r="Y33" s="125"/>
      <c r="Z33" s="125"/>
      <c r="AA33" s="3">
        <f>(Y33+Z33)*$H$4*$D$3*0.7</f>
        <v>0</v>
      </c>
      <c r="AB33" s="3">
        <f>T33+(X33+AA33)/$H$3</f>
        <v>58.92307692307692</v>
      </c>
      <c r="AC33" s="1"/>
      <c r="AE33" s="1">
        <f>D32*$AE$6*2</f>
        <v>0</v>
      </c>
      <c r="AF33" s="56">
        <f>((E32*K32)+(E32*N32))*AG33/(K32+N32)</f>
        <v>0</v>
      </c>
      <c r="AG33" s="126"/>
      <c r="AH33" s="1"/>
      <c r="AI33" s="1"/>
      <c r="AJ33" s="1"/>
      <c r="AK33" s="1"/>
    </row>
    <row r="34" spans="1:37" x14ac:dyDescent="0.25">
      <c r="A34" s="124"/>
      <c r="B34" s="124"/>
      <c r="D34" s="19"/>
      <c r="AE34" s="1">
        <f>D33*$AE$6*2</f>
        <v>0</v>
      </c>
      <c r="AF34" s="56">
        <f>((E33*K33)+(E33*N33))*AG34/(K33+N33)</f>
        <v>0</v>
      </c>
      <c r="AG34" s="126"/>
      <c r="AH34" s="1"/>
      <c r="AI34" s="1"/>
    </row>
    <row r="35" spans="1:37" x14ac:dyDescent="0.25">
      <c r="A35" s="124"/>
      <c r="B35" s="124"/>
      <c r="D35" s="19"/>
    </row>
    <row r="36" spans="1:37" x14ac:dyDescent="0.25">
      <c r="A36" s="124"/>
      <c r="B36" s="124"/>
    </row>
    <row r="37" spans="1:37" x14ac:dyDescent="0.25">
      <c r="B37" s="124"/>
    </row>
  </sheetData>
  <sheetProtection selectLockedCells="1"/>
  <customSheetViews>
    <customSheetView guid="{749D43A3-052D-442F-AE88-F6CCB83A1282}" fitToPage="1" hiddenColumns="1" topLeftCell="A9">
      <pane xSplit="1" topLeftCell="U1" activePane="topRight" state="frozen"/>
      <selection pane="topRight" activeCell="H20" sqref="H20"/>
      <pageMargins left="7.874015748031496E-2" right="7.874015748031496E-2" top="0.74803149606299213" bottom="0.74803149606299213" header="0.31496062992125984" footer="0.31496062992125984"/>
      <pageSetup paperSize="9" scale="92" orientation="landscape" r:id="rId1"/>
      <headerFooter>
        <oddHeader>&amp;C&amp;"-,Fet"&amp;14 1. studieår</oddHeader>
      </headerFooter>
    </customSheetView>
    <customSheetView guid="{E5349645-7714-4437-B9BC-26ED822E5BC5}" fitToPage="1" hiddenColumns="1" topLeftCell="A2">
      <pane xSplit="1" topLeftCell="B1" activePane="topRight" state="frozen"/>
      <selection pane="topRight" activeCell="O8" sqref="O8"/>
      <pageMargins left="7.874015748031496E-2" right="7.874015748031496E-2" top="0.74803149606299213" bottom="0.74803149606299213" header="0.31496062992125984" footer="0.31496062992125984"/>
      <pageSetup paperSize="9" scale="92" orientation="landscape" r:id="rId2"/>
      <headerFooter>
        <oddHeader>&amp;C&amp;"-,Fet"&amp;14 1. studieår</oddHeader>
      </headerFooter>
    </customSheetView>
    <customSheetView guid="{F38A39FA-EF57-4062-A2AD-F3BEB88C5762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3"/>
      <headerFooter>
        <oddHeader>&amp;C&amp;"-,Fet"&amp;14 1. studieår</oddHeader>
      </headerFooter>
    </customSheetView>
    <customSheetView guid="{83C69039-3E29-46E1-85FB-B9165E0BFA91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4"/>
      <headerFooter>
        <oddHeader>&amp;C&amp;"-,Fet"&amp;14 1. studieår</oddHeader>
      </headerFooter>
    </customSheetView>
    <customSheetView guid="{C1FECEF4-D739-4F39-9B89-CF4C04A77A9B}" fitToPage="1" hiddenRows="1" hiddenColumns="1" topLeftCell="A1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5"/>
      <headerFooter>
        <oddHeader>&amp;C&amp;"-,Fet"&amp;14 1. studieår</oddHeader>
      </headerFooter>
    </customSheetView>
    <customSheetView guid="{1241DC17-BD41-46C5-9DB1-684763A09F24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6"/>
      <headerFooter>
        <oddHeader>&amp;C&amp;"-,Fet"&amp;14 1. studieår</oddHeader>
      </headerFooter>
    </customSheetView>
    <customSheetView guid="{91227156-ECBD-48FD-8964-78F3608400FC}" fitToPage="1" hiddenRows="1" hiddenColumns="1" topLeftCell="A11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7"/>
      <headerFooter>
        <oddHeader>&amp;C&amp;"-,Fet"&amp;14 1. studieår</oddHeader>
      </headerFooter>
    </customSheetView>
    <customSheetView guid="{B76C0EA9-E79B-4DA2-9ADE-66DB47109F8F}" fitToPage="1" hiddenRows="1" hiddenColumns="1" topLeftCell="A14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8"/>
      <headerFooter>
        <oddHeader>&amp;C&amp;"-,Fet"&amp;14 1. studieår</oddHeader>
      </headerFooter>
    </customSheetView>
    <customSheetView guid="{726FF687-50E0-4F8A-BCCB-6DA9E6D367D4}" fitToPage="1" hiddenRows="1" hiddenColumns="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9"/>
      <headerFooter>
        <oddHeader>&amp;C&amp;"-,Fet"&amp;14 1. studieår</oddHeader>
      </headerFooter>
    </customSheetView>
    <customSheetView guid="{BB9ED292-532F-438C-A4A6-F8D66D70E0E7}" fitToPage="1" hiddenRows="1" hiddenColumns="1" topLeftCell="A8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0"/>
      <headerFooter>
        <oddHeader>&amp;C&amp;"-,Fet"&amp;14 1. studieår</oddHeader>
      </headerFooter>
    </customSheetView>
    <customSheetView guid="{7AE955BB-7BF8-4CA4-ABF1-6A0BB53A48AD}" fitToPage="1" hiddenRows="1" hiddenColumns="1" topLeftCell="A2">
      <selection activeCell="O24" sqref="O24"/>
      <pageMargins left="7.874015748031496E-2" right="7.874015748031496E-2" top="0.74803149606299213" bottom="0.74803149606299213" header="0.31496062992125984" footer="0.31496062992125984"/>
      <pageSetup paperSize="9" scale="92" orientation="landscape" r:id="rId11"/>
      <headerFooter>
        <oddHeader>&amp;C&amp;"-,Fet"&amp;14 1. studieår</oddHeader>
      </headerFooter>
    </customSheetView>
    <customSheetView guid="{43EFFC0A-CCC0-43DD-A273-4AF58757EC00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12"/>
      <headerFooter>
        <oddHeader>&amp;C&amp;"-,Fet"&amp;14 1. studieår</oddHeader>
      </headerFooter>
    </customSheetView>
    <customSheetView guid="{1283C6B5-B05C-447B-8854-CDB081C03FD4}" fitToPage="1" hiddenRows="1" hiddenColumns="1">
      <pane xSplit="1" topLeftCell="D1" activePane="topRight" state="frozen"/>
      <selection pane="topRight" activeCell="D32" sqref="D32"/>
      <pageMargins left="7.874015748031496E-2" right="7.874015748031496E-2" top="0.74803149606299213" bottom="0.74803149606299213" header="0.31496062992125984" footer="0.31496062992125984"/>
      <pageSetup paperSize="9" scale="92" orientation="landscape" r:id="rId13"/>
      <headerFooter>
        <oddHeader>&amp;C&amp;"-,Fet"&amp;14 1. studieår</oddHeader>
      </headerFooter>
    </customSheetView>
    <customSheetView guid="{CB7E9FB3-C7A3-44DE-98E4-19C23B487785}" fitToPage="1" hiddenRows="1" hiddenColumns="1" topLeftCell="A13">
      <pane xSplit="1" topLeftCell="N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4"/>
      <headerFooter>
        <oddHeader>&amp;C&amp;"-,Fet"&amp;14 1. studieår</oddHeader>
      </headerFooter>
    </customSheetView>
  </customSheetViews>
  <mergeCells count="6">
    <mergeCell ref="AE7:AK7"/>
    <mergeCell ref="AE4:AJ4"/>
    <mergeCell ref="A1:U1"/>
    <mergeCell ref="D30:P30"/>
    <mergeCell ref="AF8:AG8"/>
    <mergeCell ref="AJ8:AK8"/>
  </mergeCells>
  <pageMargins left="7.874015748031496E-2" right="7.874015748031496E-2" top="0.74803149606299213" bottom="0.74803149606299213" header="0.31496062992125984" footer="0.31496062992125984"/>
  <pageSetup paperSize="8" scale="60" orientation="landscape" r:id="rId15"/>
  <headerFooter>
    <oddHeader>&amp;C&amp;"-,Fet"&amp;14 1. studieår</oddHeader>
  </headerFooter>
  <legacy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cols>
    <col min="1" max="256" width="9.140625" customWidth="1"/>
  </cols>
  <sheetData/>
  <customSheetViews>
    <customSheetView guid="{749D43A3-052D-442F-AE88-F6CCB83A1282}">
      <pageMargins left="0.7" right="0.7" top="0.75" bottom="0.75" header="0.3" footer="0.3"/>
    </customSheetView>
    <customSheetView guid="{E5349645-7714-4437-B9BC-26ED822E5BC5}">
      <pageMargins left="0.7" right="0.7" top="0.75" bottom="0.75" header="0.3" footer="0.3"/>
    </customSheetView>
    <customSheetView guid="{F38A39FA-EF57-4062-A2AD-F3BEB88C5762}">
      <pageMargins left="0.7" right="0.7" top="0.75" bottom="0.75" header="0.3" footer="0.3"/>
    </customSheetView>
    <customSheetView guid="{83C69039-3E29-46E1-85FB-B9165E0BFA91}">
      <pageMargins left="0.7" right="0.7" top="0.75" bottom="0.75" header="0.3" footer="0.3"/>
    </customSheetView>
    <customSheetView guid="{C1FECEF4-D739-4F39-9B89-CF4C04A77A9B}">
      <pageMargins left="0.7" right="0.7" top="0.75" bottom="0.75" header="0.3" footer="0.3"/>
    </customSheetView>
    <customSheetView guid="{1241DC17-BD41-46C5-9DB1-684763A09F24}">
      <pageMargins left="0.7" right="0.7" top="0.75" bottom="0.75" header="0.3" footer="0.3"/>
    </customSheetView>
    <customSheetView guid="{B76C0EA9-E79B-4DA2-9ADE-66DB47109F8F}">
      <pageMargins left="0.7" right="0.7" top="0.75" bottom="0.75" header="0.3" footer="0.3"/>
    </customSheetView>
    <customSheetView guid="{726FF687-50E0-4F8A-BCCB-6DA9E6D367D4}">
      <pageMargins left="0.7" right="0.7" top="0.75" bottom="0.75" header="0.3" footer="0.3"/>
    </customSheetView>
    <customSheetView guid="{BB9ED292-532F-438C-A4A6-F8D66D70E0E7}">
      <pageMargins left="0.7" right="0.7" top="0.75" bottom="0.75" header="0.3" footer="0.3"/>
    </customSheetView>
    <customSheetView guid="{7AE955BB-7BF8-4CA4-ABF1-6A0BB53A48AD}">
      <pageMargins left="0.7" right="0.7" top="0.75" bottom="0.75" header="0.3" footer="0.3"/>
    </customSheetView>
    <customSheetView guid="{43EFFC0A-CCC0-43DD-A273-4AF58757EC00}">
      <pageMargins left="0.7" right="0.7" top="0.75" bottom="0.75" header="0.3" footer="0.3"/>
    </customSheetView>
    <customSheetView guid="{1283C6B5-B05C-447B-8854-CDB081C03FD4}">
      <pageMargins left="0.7" right="0.7" top="0.75" bottom="0.75" header="0.3" footer="0.3"/>
    </customSheetView>
    <customSheetView guid="{CB7E9FB3-C7A3-44DE-98E4-19C23B487785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M36"/>
  <sheetViews>
    <sheetView zoomScaleNormal="80" workbookViewId="0">
      <pane xSplit="1" topLeftCell="B1" activePane="topRight" state="frozen"/>
      <selection activeCell="A7" sqref="A7"/>
      <selection pane="topRight" activeCell="W35" sqref="W35"/>
    </sheetView>
  </sheetViews>
  <sheetFormatPr defaultColWidth="11.42578125" defaultRowHeight="15" x14ac:dyDescent="0.25"/>
  <cols>
    <col min="1" max="1" width="38.85546875" customWidth="1"/>
    <col min="2" max="2" width="15.140625" customWidth="1"/>
    <col min="3" max="3" width="13.42578125" customWidth="1"/>
    <col min="4" max="4" width="12.85546875" customWidth="1"/>
    <col min="5" max="5" width="9.7109375" customWidth="1"/>
    <col min="6" max="6" width="10.140625" customWidth="1"/>
    <col min="7" max="7" width="4.140625" hidden="1" customWidth="1"/>
    <col min="8" max="8" width="11" customWidth="1"/>
    <col min="9" max="9" width="11.140625" customWidth="1"/>
    <col min="10" max="10" width="0.140625" hidden="1" customWidth="1"/>
    <col min="11" max="15" width="9.140625" customWidth="1"/>
    <col min="16" max="16" width="9.140625" hidden="1" customWidth="1"/>
    <col min="17" max="19" width="9.140625" customWidth="1"/>
    <col min="20" max="20" width="9.5703125" customWidth="1"/>
    <col min="21" max="21" width="9.85546875" customWidth="1"/>
    <col min="22" max="22" width="9.140625" customWidth="1"/>
    <col min="23" max="23" width="10.42578125" style="5" customWidth="1"/>
    <col min="24" max="24" width="10" style="5" customWidth="1"/>
    <col min="25" max="26" width="9.85546875" style="5" customWidth="1"/>
    <col min="27" max="28" width="10" style="5" customWidth="1"/>
    <col min="29" max="30" width="9.5703125" style="5" customWidth="1"/>
    <col min="31" max="31" width="10" style="5" customWidth="1"/>
    <col min="32" max="32" width="14.85546875" customWidth="1"/>
    <col min="33" max="33" width="11.140625" bestFit="1" customWidth="1"/>
    <col min="34" max="38" width="9.140625" customWidth="1"/>
    <col min="39" max="39" width="9.140625" hidden="1" customWidth="1"/>
    <col min="40" max="260" width="9.140625" customWidth="1"/>
  </cols>
  <sheetData>
    <row r="1" spans="1:39" ht="21" x14ac:dyDescent="0.35">
      <c r="A1" s="277" t="s">
        <v>6</v>
      </c>
      <c r="B1" s="278"/>
      <c r="C1" s="278"/>
      <c r="D1" s="292">
        <v>200</v>
      </c>
      <c r="E1" s="55"/>
      <c r="F1" s="162" t="s">
        <v>10</v>
      </c>
      <c r="G1" s="163"/>
      <c r="H1" s="163"/>
      <c r="I1" s="160">
        <v>1950</v>
      </c>
      <c r="L1" s="304" t="s">
        <v>373</v>
      </c>
      <c r="AG1" s="339" t="s">
        <v>135</v>
      </c>
      <c r="AH1" s="340"/>
      <c r="AI1" s="340"/>
      <c r="AJ1" s="340"/>
      <c r="AK1" s="340"/>
      <c r="AL1" s="340"/>
      <c r="AM1" s="341"/>
    </row>
    <row r="2" spans="1:39" x14ac:dyDescent="0.25">
      <c r="A2" s="309" t="s">
        <v>7</v>
      </c>
      <c r="B2" s="282"/>
      <c r="C2" s="282"/>
      <c r="D2" s="283">
        <v>2400</v>
      </c>
      <c r="E2" s="55"/>
      <c r="F2" s="162" t="s">
        <v>11</v>
      </c>
      <c r="G2" s="163"/>
      <c r="H2" s="163"/>
      <c r="I2" s="164">
        <v>300</v>
      </c>
      <c r="AG2" s="79" t="s">
        <v>124</v>
      </c>
      <c r="AH2" s="76" t="s">
        <v>118</v>
      </c>
      <c r="AI2" s="76"/>
      <c r="AJ2" s="76" t="s">
        <v>119</v>
      </c>
      <c r="AK2" s="76"/>
      <c r="AL2" s="76" t="s">
        <v>121</v>
      </c>
      <c r="AM2" s="80" t="s">
        <v>120</v>
      </c>
    </row>
    <row r="3" spans="1:39" s="55" customFormat="1" ht="18.75" x14ac:dyDescent="0.3">
      <c r="A3" s="310" t="s">
        <v>109</v>
      </c>
      <c r="B3" s="311">
        <v>24</v>
      </c>
      <c r="C3" s="312"/>
      <c r="D3" s="313"/>
      <c r="F3" s="14"/>
      <c r="G3" s="14"/>
      <c r="H3" s="14"/>
      <c r="I3" s="14"/>
      <c r="W3" s="58"/>
      <c r="X3" s="58"/>
      <c r="Y3" s="58"/>
      <c r="Z3" s="58"/>
      <c r="AA3" s="58"/>
      <c r="AB3" s="58"/>
      <c r="AC3" s="58"/>
      <c r="AD3" s="58"/>
      <c r="AE3" s="58"/>
      <c r="AG3" s="127"/>
      <c r="AH3" s="128"/>
      <c r="AI3" s="81"/>
      <c r="AJ3" s="128"/>
      <c r="AK3" s="81"/>
      <c r="AL3" s="128">
        <v>1</v>
      </c>
      <c r="AM3" s="129">
        <v>0.3</v>
      </c>
    </row>
    <row r="4" spans="1:39" s="55" customFormat="1" x14ac:dyDescent="0.25">
      <c r="AG4" s="342" t="s">
        <v>122</v>
      </c>
      <c r="AH4" s="342"/>
      <c r="AI4" s="342"/>
      <c r="AJ4" s="342"/>
      <c r="AK4" s="342"/>
      <c r="AL4" s="342"/>
      <c r="AM4" s="342"/>
    </row>
    <row r="5" spans="1:39" s="55" customFormat="1" ht="15.75" thickBot="1" x14ac:dyDescent="0.3">
      <c r="AG5" s="84" t="s">
        <v>89</v>
      </c>
      <c r="AH5" s="338" t="s">
        <v>90</v>
      </c>
      <c r="AI5" s="338"/>
      <c r="AJ5" s="338" t="s">
        <v>91</v>
      </c>
      <c r="AK5" s="338"/>
      <c r="AL5" s="84" t="s">
        <v>92</v>
      </c>
      <c r="AM5" s="84" t="s">
        <v>93</v>
      </c>
    </row>
    <row r="6" spans="1:39" s="28" customFormat="1" ht="92.25" customHeight="1" x14ac:dyDescent="0.25">
      <c r="A6" s="59" t="s">
        <v>1</v>
      </c>
      <c r="B6" s="314" t="s">
        <v>255</v>
      </c>
      <c r="C6" s="314" t="s">
        <v>110</v>
      </c>
      <c r="D6" s="60" t="s">
        <v>264</v>
      </c>
      <c r="E6" s="60" t="s">
        <v>256</v>
      </c>
      <c r="F6" s="60" t="s">
        <v>261</v>
      </c>
      <c r="G6" s="60" t="s">
        <v>12</v>
      </c>
      <c r="H6" s="60" t="s">
        <v>3</v>
      </c>
      <c r="I6" s="60" t="s">
        <v>4</v>
      </c>
      <c r="J6" s="61" t="s">
        <v>265</v>
      </c>
      <c r="K6" s="60" t="s">
        <v>125</v>
      </c>
      <c r="L6" s="60" t="s">
        <v>335</v>
      </c>
      <c r="M6" s="60" t="s">
        <v>347</v>
      </c>
      <c r="N6" s="60" t="s">
        <v>337</v>
      </c>
      <c r="O6" s="60" t="s">
        <v>126</v>
      </c>
      <c r="P6" s="60" t="s">
        <v>258</v>
      </c>
      <c r="Q6" s="60" t="s">
        <v>349</v>
      </c>
      <c r="R6" s="60" t="s">
        <v>127</v>
      </c>
      <c r="S6" s="60" t="s">
        <v>350</v>
      </c>
      <c r="T6" s="61" t="s">
        <v>128</v>
      </c>
      <c r="U6" s="61" t="s">
        <v>129</v>
      </c>
      <c r="V6" s="61" t="s">
        <v>116</v>
      </c>
      <c r="W6" s="98" t="s">
        <v>140</v>
      </c>
      <c r="X6" s="91" t="s">
        <v>270</v>
      </c>
      <c r="Y6" s="91" t="s">
        <v>271</v>
      </c>
      <c r="Z6" s="65" t="s">
        <v>136</v>
      </c>
      <c r="AA6" s="91" t="s">
        <v>272</v>
      </c>
      <c r="AB6" s="91" t="s">
        <v>273</v>
      </c>
      <c r="AC6" s="65" t="s">
        <v>137</v>
      </c>
      <c r="AD6" s="65" t="s">
        <v>212</v>
      </c>
      <c r="AE6" s="65" t="s">
        <v>266</v>
      </c>
      <c r="AG6" s="264" t="s">
        <v>345</v>
      </c>
      <c r="AH6" s="96" t="s">
        <v>342</v>
      </c>
      <c r="AI6" s="100" t="s">
        <v>348</v>
      </c>
      <c r="AJ6" s="96" t="s">
        <v>359</v>
      </c>
      <c r="AK6" s="100" t="s">
        <v>332</v>
      </c>
      <c r="AL6" s="96" t="s">
        <v>141</v>
      </c>
      <c r="AM6" s="96" t="s">
        <v>141</v>
      </c>
    </row>
    <row r="7" spans="1:39" s="28" customFormat="1" ht="27" customHeight="1" x14ac:dyDescent="0.25">
      <c r="A7" s="11" t="s">
        <v>18</v>
      </c>
      <c r="B7" s="315"/>
      <c r="C7" s="315"/>
      <c r="D7" s="237">
        <v>20</v>
      </c>
      <c r="E7" s="237">
        <v>14</v>
      </c>
      <c r="F7" s="237"/>
      <c r="G7" s="237"/>
      <c r="H7" s="237">
        <v>15</v>
      </c>
      <c r="I7" s="237">
        <v>0</v>
      </c>
      <c r="J7" s="247">
        <v>0</v>
      </c>
      <c r="K7" s="237">
        <v>12</v>
      </c>
      <c r="L7" s="237">
        <v>9</v>
      </c>
      <c r="M7" s="237">
        <v>12</v>
      </c>
      <c r="N7" s="237">
        <v>9</v>
      </c>
      <c r="O7" s="237">
        <f>+IF(F7&gt;0,$D$1/I7,0)</f>
        <v>0</v>
      </c>
      <c r="P7" s="237"/>
      <c r="Q7" s="237"/>
      <c r="R7" s="237"/>
      <c r="S7" s="237"/>
      <c r="T7" s="3">
        <f>D7+(E7*K7)+(F7*O7)</f>
        <v>188</v>
      </c>
      <c r="U7" s="3">
        <f>D7+(E7*M7)+(F7*R7)</f>
        <v>188</v>
      </c>
      <c r="V7" s="3">
        <f>T7+U7</f>
        <v>376</v>
      </c>
      <c r="W7" s="21">
        <f>V7*$I$1</f>
        <v>733200</v>
      </c>
      <c r="X7" s="237"/>
      <c r="Y7" s="237"/>
      <c r="Z7" s="3">
        <f>(X7+Y7)*$I$2*$D$1*0.4</f>
        <v>0</v>
      </c>
      <c r="AA7" s="237"/>
      <c r="AB7" s="237"/>
      <c r="AC7" s="3">
        <f>(AA7+AB7)*$I$2*$D$1*0.4</f>
        <v>0</v>
      </c>
      <c r="AD7" s="3">
        <f t="shared" ref="AD7:AD26" si="0">(Z7+AC7)/$I$1+V7</f>
        <v>376</v>
      </c>
      <c r="AE7" s="3"/>
      <c r="AG7" s="250"/>
      <c r="AH7" s="56">
        <f>IF(AI7&gt;0,(V7-D7*2)*(L7+N7)/(K7+M7),0)</f>
        <v>252</v>
      </c>
      <c r="AI7" s="218">
        <f>SUM(L7,N7)</f>
        <v>18</v>
      </c>
      <c r="AJ7" s="56">
        <f>IF(AK7&gt;0,V7*(Q7+S7)/(O7+R7),0)</f>
        <v>0</v>
      </c>
      <c r="AK7" s="218">
        <f>SUM(Q7,S7)</f>
        <v>0</v>
      </c>
      <c r="AL7" s="1"/>
      <c r="AM7" s="1"/>
    </row>
    <row r="8" spans="1:39" x14ac:dyDescent="0.25">
      <c r="A8" s="11" t="s">
        <v>45</v>
      </c>
      <c r="B8" s="284"/>
      <c r="C8" s="284"/>
      <c r="D8" s="237"/>
      <c r="E8" s="237"/>
      <c r="F8" s="237"/>
      <c r="G8" s="237"/>
      <c r="H8" s="237"/>
      <c r="I8" s="237"/>
      <c r="J8" s="248"/>
      <c r="K8" s="246"/>
      <c r="L8" s="246"/>
      <c r="M8" s="246"/>
      <c r="N8" s="246"/>
      <c r="O8" s="246"/>
      <c r="P8" s="246"/>
      <c r="Q8" s="246"/>
      <c r="R8" s="246"/>
      <c r="S8" s="246"/>
      <c r="T8" s="1"/>
      <c r="U8" s="1"/>
      <c r="V8" s="1"/>
      <c r="W8" s="21"/>
      <c r="X8" s="237"/>
      <c r="Y8" s="237"/>
      <c r="Z8" s="3"/>
      <c r="AA8" s="237"/>
      <c r="AB8" s="237"/>
      <c r="AC8" s="3"/>
      <c r="AD8" s="3">
        <f t="shared" si="0"/>
        <v>0</v>
      </c>
      <c r="AE8" s="3"/>
      <c r="AG8" s="250"/>
      <c r="AH8" s="56"/>
      <c r="AI8" s="218"/>
      <c r="AJ8" s="56"/>
      <c r="AK8" s="218"/>
      <c r="AL8" s="1"/>
      <c r="AM8" s="1"/>
    </row>
    <row r="9" spans="1:39" x14ac:dyDescent="0.25">
      <c r="A9" s="11" t="s">
        <v>112</v>
      </c>
      <c r="B9" s="284">
        <v>20</v>
      </c>
      <c r="C9" s="284">
        <f>B9*$B$3*2</f>
        <v>960</v>
      </c>
      <c r="D9" s="237"/>
      <c r="E9" s="237"/>
      <c r="F9" s="237"/>
      <c r="G9" s="237"/>
      <c r="H9" s="237"/>
      <c r="I9" s="237"/>
      <c r="J9" s="247"/>
      <c r="K9" s="237"/>
      <c r="L9" s="237"/>
      <c r="M9" s="237"/>
      <c r="N9" s="237"/>
      <c r="O9" s="237"/>
      <c r="P9" s="237"/>
      <c r="Q9" s="237"/>
      <c r="R9" s="237"/>
      <c r="S9" s="237"/>
      <c r="T9" s="3"/>
      <c r="U9" s="3"/>
      <c r="V9" s="3"/>
      <c r="W9" s="21"/>
      <c r="X9" s="237"/>
      <c r="Y9" s="237"/>
      <c r="Z9" s="3"/>
      <c r="AA9" s="237"/>
      <c r="AB9" s="237"/>
      <c r="AC9" s="3"/>
      <c r="AD9" s="3">
        <f t="shared" si="0"/>
        <v>0</v>
      </c>
      <c r="AE9" s="3"/>
      <c r="AG9" s="250"/>
      <c r="AH9" s="56"/>
      <c r="AI9" s="218"/>
      <c r="AJ9" s="56"/>
      <c r="AK9" s="218"/>
      <c r="AL9" s="1"/>
      <c r="AM9" s="1"/>
    </row>
    <row r="10" spans="1:39" x14ac:dyDescent="0.25">
      <c r="A10" s="10" t="s">
        <v>14</v>
      </c>
      <c r="B10" s="315">
        <v>10</v>
      </c>
      <c r="C10" s="284">
        <f>B10*$B$3*2</f>
        <v>480</v>
      </c>
      <c r="D10" s="237">
        <v>22</v>
      </c>
      <c r="E10" s="237">
        <v>14</v>
      </c>
      <c r="F10" s="237">
        <v>4</v>
      </c>
      <c r="G10" s="237"/>
      <c r="H10" s="237">
        <v>35</v>
      </c>
      <c r="I10" s="237">
        <v>15</v>
      </c>
      <c r="J10" s="237">
        <v>0</v>
      </c>
      <c r="K10" s="237">
        <f>$D$1/H10+1</f>
        <v>6.7142857142857144</v>
      </c>
      <c r="L10" s="237">
        <v>5</v>
      </c>
      <c r="M10" s="237">
        <v>7</v>
      </c>
      <c r="N10" s="237">
        <v>5</v>
      </c>
      <c r="O10" s="237">
        <v>11</v>
      </c>
      <c r="P10" s="237"/>
      <c r="Q10" s="237">
        <v>10</v>
      </c>
      <c r="R10" s="237">
        <v>11</v>
      </c>
      <c r="S10" s="237">
        <v>11</v>
      </c>
      <c r="T10" s="3">
        <f t="shared" ref="T10:T15" si="1">D10+(E10*K10)+(F10*O10)</f>
        <v>160</v>
      </c>
      <c r="U10" s="3">
        <f t="shared" ref="U10:U15" si="2">D10+(E10*M10)+(F10*R10)</f>
        <v>164</v>
      </c>
      <c r="V10" s="3">
        <f t="shared" ref="V10:V15" si="3">T10+U10</f>
        <v>324</v>
      </c>
      <c r="W10" s="21">
        <f t="shared" ref="W10:W15" si="4">V10*$I$1</f>
        <v>631800</v>
      </c>
      <c r="X10" s="237">
        <v>1</v>
      </c>
      <c r="Y10" s="237">
        <v>1</v>
      </c>
      <c r="Z10" s="3">
        <f>(X10+Y10)*$I$2*$D$1*0.4</f>
        <v>48000</v>
      </c>
      <c r="AA10" s="237">
        <v>1</v>
      </c>
      <c r="AB10" s="237">
        <v>1</v>
      </c>
      <c r="AC10" s="3">
        <f>(AA10+AB10)*$I$2*$D$1*0.4</f>
        <v>48000</v>
      </c>
      <c r="AD10" s="3">
        <f t="shared" si="0"/>
        <v>373.23076923076923</v>
      </c>
      <c r="AE10" s="3"/>
      <c r="AG10" s="250"/>
      <c r="AH10" s="56">
        <f t="shared" ref="AH10:AH15" si="5">IF(AI10&gt;0,(V10-D10*2)*(L10+N10)/(K10+M10),0)</f>
        <v>204.16666666666666</v>
      </c>
      <c r="AI10" s="218">
        <f t="shared" ref="AI10:AI26" si="6">SUM(O10,L10)</f>
        <v>16</v>
      </c>
      <c r="AJ10" s="56">
        <f>IF(AK10&gt;0,(Q10+S10)/(O10+R10)*F10*(O10+R10),0)</f>
        <v>84</v>
      </c>
      <c r="AK10" s="218">
        <f t="shared" ref="AK10:AK26" si="7">SUM(Q10,S10)</f>
        <v>21</v>
      </c>
      <c r="AL10" s="3"/>
      <c r="AM10" s="1"/>
    </row>
    <row r="11" spans="1:39" x14ac:dyDescent="0.25">
      <c r="A11" s="10" t="s">
        <v>15</v>
      </c>
      <c r="B11" s="315">
        <v>5</v>
      </c>
      <c r="C11" s="284">
        <f>B11*$B$3*2</f>
        <v>240</v>
      </c>
      <c r="D11" s="237">
        <v>10</v>
      </c>
      <c r="E11" s="237">
        <v>6</v>
      </c>
      <c r="F11" s="237">
        <v>8</v>
      </c>
      <c r="G11" s="237"/>
      <c r="H11" s="237">
        <v>35</v>
      </c>
      <c r="I11" s="237">
        <v>15</v>
      </c>
      <c r="J11" s="237">
        <v>0</v>
      </c>
      <c r="K11" s="237">
        <v>7</v>
      </c>
      <c r="L11" s="237">
        <v>5</v>
      </c>
      <c r="M11" s="237">
        <v>7</v>
      </c>
      <c r="N11" s="237">
        <v>5</v>
      </c>
      <c r="O11" s="237">
        <v>11</v>
      </c>
      <c r="P11" s="237"/>
      <c r="Q11" s="237">
        <v>8</v>
      </c>
      <c r="R11" s="237">
        <v>11</v>
      </c>
      <c r="S11" s="237">
        <v>8</v>
      </c>
      <c r="T11" s="3">
        <f t="shared" si="1"/>
        <v>140</v>
      </c>
      <c r="U11" s="3">
        <f t="shared" si="2"/>
        <v>140</v>
      </c>
      <c r="V11" s="3">
        <f t="shared" si="3"/>
        <v>280</v>
      </c>
      <c r="W11" s="21">
        <f t="shared" si="4"/>
        <v>546000</v>
      </c>
      <c r="X11" s="237">
        <v>1</v>
      </c>
      <c r="Y11" s="237">
        <v>1</v>
      </c>
      <c r="Z11" s="3">
        <f t="shared" ref="Z11:Z15" si="8">(X11+Y11)*$I$2*$D$1*0.4</f>
        <v>48000</v>
      </c>
      <c r="AA11" s="237"/>
      <c r="AB11" s="237">
        <v>0</v>
      </c>
      <c r="AC11" s="3">
        <f t="shared" ref="AC11:AC15" si="9">(AA11+AB11)*$I$2*$D$1*0.4</f>
        <v>0</v>
      </c>
      <c r="AD11" s="3">
        <f t="shared" si="0"/>
        <v>304.61538461538464</v>
      </c>
      <c r="AE11" s="3"/>
      <c r="AG11" s="250"/>
      <c r="AH11" s="56">
        <f t="shared" si="5"/>
        <v>185.71428571428572</v>
      </c>
      <c r="AI11" s="218">
        <f t="shared" si="6"/>
        <v>16</v>
      </c>
      <c r="AJ11" s="56">
        <f t="shared" ref="AJ11:AJ15" si="10">IF(AK11&gt;0,(Q11+S11)/(O11+R11)*F11*(O11+R11),0)</f>
        <v>128</v>
      </c>
      <c r="AK11" s="218">
        <f>SUM(O11,R11)</f>
        <v>22</v>
      </c>
      <c r="AL11" s="3"/>
      <c r="AM11" s="1"/>
    </row>
    <row r="12" spans="1:39" x14ac:dyDescent="0.25">
      <c r="A12" s="10" t="s">
        <v>16</v>
      </c>
      <c r="B12" s="315">
        <v>5</v>
      </c>
      <c r="C12" s="284">
        <f>B12*$B$3*2</f>
        <v>240</v>
      </c>
      <c r="D12" s="237">
        <v>10</v>
      </c>
      <c r="E12" s="237">
        <v>10</v>
      </c>
      <c r="F12" s="237"/>
      <c r="G12" s="237"/>
      <c r="H12" s="237">
        <v>35</v>
      </c>
      <c r="I12" s="237">
        <v>15</v>
      </c>
      <c r="J12" s="237">
        <v>0</v>
      </c>
      <c r="K12" s="237">
        <f>$D$1/H12+1</f>
        <v>6.7142857142857144</v>
      </c>
      <c r="L12" s="237">
        <v>4</v>
      </c>
      <c r="M12" s="237">
        <v>7</v>
      </c>
      <c r="N12" s="237">
        <v>4</v>
      </c>
      <c r="O12" s="237">
        <v>0</v>
      </c>
      <c r="P12" s="237"/>
      <c r="Q12" s="237"/>
      <c r="R12" s="237">
        <v>0</v>
      </c>
      <c r="S12" s="237"/>
      <c r="T12" s="3">
        <f t="shared" si="1"/>
        <v>77.142857142857139</v>
      </c>
      <c r="U12" s="3">
        <f t="shared" si="2"/>
        <v>80</v>
      </c>
      <c r="V12" s="3">
        <f t="shared" si="3"/>
        <v>157.14285714285714</v>
      </c>
      <c r="W12" s="21">
        <f t="shared" si="4"/>
        <v>306428.57142857142</v>
      </c>
      <c r="X12" s="237">
        <v>1</v>
      </c>
      <c r="Y12" s="237">
        <v>1</v>
      </c>
      <c r="Z12" s="3">
        <f t="shared" si="8"/>
        <v>48000</v>
      </c>
      <c r="AA12" s="237">
        <v>1</v>
      </c>
      <c r="AB12" s="237">
        <v>1</v>
      </c>
      <c r="AC12" s="3">
        <f t="shared" si="9"/>
        <v>48000</v>
      </c>
      <c r="AD12" s="3">
        <f t="shared" si="0"/>
        <v>206.37362637362637</v>
      </c>
      <c r="AE12" s="3"/>
      <c r="AG12" s="250"/>
      <c r="AH12" s="56">
        <f t="shared" si="5"/>
        <v>79.999999999999986</v>
      </c>
      <c r="AI12" s="218">
        <f t="shared" si="6"/>
        <v>4</v>
      </c>
      <c r="AJ12" s="56">
        <f t="shared" si="10"/>
        <v>0</v>
      </c>
      <c r="AK12" s="218">
        <f t="shared" si="7"/>
        <v>0</v>
      </c>
      <c r="AL12" s="3"/>
      <c r="AM12" s="1"/>
    </row>
    <row r="13" spans="1:39" ht="14.45" x14ac:dyDescent="0.3">
      <c r="A13" s="10" t="s">
        <v>17</v>
      </c>
      <c r="B13" s="315"/>
      <c r="C13" s="315"/>
      <c r="D13" s="237">
        <v>4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>
        <f>+IF(F13&gt;0,$D$1/I13,0)</f>
        <v>0</v>
      </c>
      <c r="P13" s="237"/>
      <c r="Q13" s="237"/>
      <c r="R13" s="237"/>
      <c r="S13" s="237"/>
      <c r="T13" s="3">
        <f t="shared" si="1"/>
        <v>4</v>
      </c>
      <c r="U13" s="3">
        <f t="shared" si="2"/>
        <v>4</v>
      </c>
      <c r="V13" s="3">
        <f t="shared" si="3"/>
        <v>8</v>
      </c>
      <c r="W13" s="21">
        <f t="shared" si="4"/>
        <v>15600</v>
      </c>
      <c r="X13" s="237"/>
      <c r="Y13" s="237"/>
      <c r="Z13" s="3">
        <f t="shared" si="8"/>
        <v>0</v>
      </c>
      <c r="AA13" s="237"/>
      <c r="AB13" s="237"/>
      <c r="AC13" s="3">
        <f t="shared" si="9"/>
        <v>0</v>
      </c>
      <c r="AD13" s="3">
        <f t="shared" si="0"/>
        <v>8</v>
      </c>
      <c r="AE13" s="3"/>
      <c r="AG13" s="250"/>
      <c r="AH13" s="56">
        <f t="shared" si="5"/>
        <v>0</v>
      </c>
      <c r="AI13" s="218">
        <f t="shared" si="6"/>
        <v>0</v>
      </c>
      <c r="AJ13" s="56">
        <f t="shared" si="10"/>
        <v>0</v>
      </c>
      <c r="AK13" s="218">
        <f t="shared" si="7"/>
        <v>0</v>
      </c>
      <c r="AL13" s="3"/>
      <c r="AM13" s="1"/>
    </row>
    <row r="14" spans="1:39" ht="14.45" x14ac:dyDescent="0.3">
      <c r="A14" s="10" t="s">
        <v>329</v>
      </c>
      <c r="B14" s="315"/>
      <c r="C14" s="315"/>
      <c r="D14" s="237"/>
      <c r="E14" s="237">
        <v>4</v>
      </c>
      <c r="F14" s="237"/>
      <c r="G14" s="237"/>
      <c r="H14" s="237">
        <v>30</v>
      </c>
      <c r="I14" s="237"/>
      <c r="J14" s="247"/>
      <c r="K14" s="237">
        <v>1</v>
      </c>
      <c r="L14" s="237"/>
      <c r="M14" s="237">
        <v>1</v>
      </c>
      <c r="N14" s="237"/>
      <c r="O14" s="237"/>
      <c r="P14" s="237"/>
      <c r="Q14" s="237"/>
      <c r="R14" s="237"/>
      <c r="S14" s="237"/>
      <c r="T14" s="3">
        <f t="shared" si="1"/>
        <v>4</v>
      </c>
      <c r="U14" s="3">
        <f t="shared" si="2"/>
        <v>4</v>
      </c>
      <c r="V14" s="3">
        <f t="shared" si="3"/>
        <v>8</v>
      </c>
      <c r="W14" s="21">
        <f t="shared" si="4"/>
        <v>15600</v>
      </c>
      <c r="X14" s="237"/>
      <c r="Y14" s="237"/>
      <c r="Z14" s="3">
        <f t="shared" si="8"/>
        <v>0</v>
      </c>
      <c r="AA14" s="237"/>
      <c r="AB14" s="237"/>
      <c r="AC14" s="3">
        <f t="shared" si="9"/>
        <v>0</v>
      </c>
      <c r="AD14" s="3">
        <f t="shared" si="0"/>
        <v>8</v>
      </c>
      <c r="AE14" s="3"/>
      <c r="AG14" s="250"/>
      <c r="AH14" s="56">
        <f t="shared" si="5"/>
        <v>0</v>
      </c>
      <c r="AI14" s="218">
        <f t="shared" si="6"/>
        <v>0</v>
      </c>
      <c r="AJ14" s="56">
        <f t="shared" si="10"/>
        <v>0</v>
      </c>
      <c r="AK14" s="218">
        <f t="shared" si="7"/>
        <v>0</v>
      </c>
      <c r="AL14" s="3"/>
      <c r="AM14" s="1"/>
    </row>
    <row r="15" spans="1:39" ht="14.45" x14ac:dyDescent="0.3">
      <c r="A15" s="10" t="s">
        <v>346</v>
      </c>
      <c r="B15" s="279"/>
      <c r="C15" s="279"/>
      <c r="D15" s="237">
        <v>6</v>
      </c>
      <c r="E15" s="237"/>
      <c r="F15" s="237"/>
      <c r="G15" s="237"/>
      <c r="H15" s="237"/>
      <c r="I15" s="237"/>
      <c r="J15" s="247"/>
      <c r="K15" s="237"/>
      <c r="L15" s="237"/>
      <c r="M15" s="237"/>
      <c r="N15" s="237"/>
      <c r="O15" s="237"/>
      <c r="P15" s="237"/>
      <c r="Q15" s="237"/>
      <c r="R15" s="237"/>
      <c r="S15" s="237"/>
      <c r="T15" s="3">
        <f t="shared" si="1"/>
        <v>6</v>
      </c>
      <c r="U15" s="3">
        <f t="shared" si="2"/>
        <v>6</v>
      </c>
      <c r="V15" s="3">
        <f t="shared" si="3"/>
        <v>12</v>
      </c>
      <c r="W15" s="21">
        <f t="shared" si="4"/>
        <v>23400</v>
      </c>
      <c r="X15" s="237"/>
      <c r="Y15" s="237"/>
      <c r="Z15" s="3">
        <f t="shared" si="8"/>
        <v>0</v>
      </c>
      <c r="AA15" s="237"/>
      <c r="AB15" s="237"/>
      <c r="AC15" s="3">
        <f t="shared" si="9"/>
        <v>0</v>
      </c>
      <c r="AD15" s="3">
        <f t="shared" si="0"/>
        <v>12</v>
      </c>
      <c r="AE15" s="3"/>
      <c r="AG15" s="250"/>
      <c r="AH15" s="56">
        <f t="shared" si="5"/>
        <v>0</v>
      </c>
      <c r="AI15" s="218">
        <f t="shared" si="6"/>
        <v>0</v>
      </c>
      <c r="AJ15" s="56">
        <f t="shared" si="10"/>
        <v>0</v>
      </c>
      <c r="AK15" s="218">
        <f t="shared" si="7"/>
        <v>0</v>
      </c>
      <c r="AL15" s="3"/>
      <c r="AM15" s="1"/>
    </row>
    <row r="16" spans="1:39" ht="14.45" x14ac:dyDescent="0.3">
      <c r="A16" s="12"/>
      <c r="B16" s="279"/>
      <c r="C16" s="279"/>
      <c r="D16" s="237"/>
      <c r="E16" s="237"/>
      <c r="F16" s="237"/>
      <c r="G16" s="237"/>
      <c r="H16" s="237"/>
      <c r="I16" s="237"/>
      <c r="J16" s="247"/>
      <c r="K16" s="237"/>
      <c r="L16" s="237"/>
      <c r="M16" s="237"/>
      <c r="N16" s="237"/>
      <c r="O16" s="237"/>
      <c r="P16" s="237"/>
      <c r="Q16" s="237"/>
      <c r="R16" s="237"/>
      <c r="S16" s="237"/>
      <c r="T16" s="3"/>
      <c r="U16" s="3"/>
      <c r="V16" s="3"/>
      <c r="W16" s="21"/>
      <c r="X16" s="237"/>
      <c r="Y16" s="237"/>
      <c r="Z16" s="3"/>
      <c r="AA16" s="237"/>
      <c r="AB16" s="237"/>
      <c r="AC16" s="3"/>
      <c r="AD16" s="3"/>
      <c r="AE16" s="3"/>
      <c r="AG16" s="250"/>
      <c r="AH16" s="56"/>
      <c r="AI16" s="218"/>
      <c r="AJ16" s="56"/>
      <c r="AK16" s="218">
        <f t="shared" si="7"/>
        <v>0</v>
      </c>
      <c r="AL16" s="1"/>
      <c r="AM16" s="1"/>
    </row>
    <row r="17" spans="1:39" ht="14.45" x14ac:dyDescent="0.3">
      <c r="A17" s="11" t="s">
        <v>46</v>
      </c>
      <c r="B17" s="284"/>
      <c r="C17" s="284"/>
      <c r="D17" s="237"/>
      <c r="E17" s="237"/>
      <c r="F17" s="237"/>
      <c r="G17" s="237"/>
      <c r="H17" s="237"/>
      <c r="I17" s="237"/>
      <c r="J17" s="247"/>
      <c r="K17" s="237"/>
      <c r="L17" s="237"/>
      <c r="M17" s="237"/>
      <c r="N17" s="237"/>
      <c r="O17" s="237"/>
      <c r="P17" s="237"/>
      <c r="Q17" s="237"/>
      <c r="R17" s="237"/>
      <c r="S17" s="237"/>
      <c r="T17" s="3"/>
      <c r="U17" s="3"/>
      <c r="V17" s="3"/>
      <c r="W17" s="21"/>
      <c r="X17" s="237"/>
      <c r="Y17" s="237"/>
      <c r="Z17" s="3"/>
      <c r="AA17" s="237"/>
      <c r="AB17" s="237"/>
      <c r="AC17" s="3"/>
      <c r="AD17" s="3">
        <f t="shared" si="0"/>
        <v>0</v>
      </c>
      <c r="AE17" s="3"/>
      <c r="AG17" s="250"/>
      <c r="AH17" s="56"/>
      <c r="AI17" s="218"/>
      <c r="AJ17" s="56"/>
      <c r="AK17" s="218">
        <f t="shared" si="7"/>
        <v>0</v>
      </c>
      <c r="AL17" s="1"/>
      <c r="AM17" s="1"/>
    </row>
    <row r="18" spans="1:39" ht="14.45" x14ac:dyDescent="0.3">
      <c r="A18" s="11" t="s">
        <v>113</v>
      </c>
      <c r="B18" s="284">
        <v>30</v>
      </c>
      <c r="C18" s="284">
        <f>B18*$B$3*2</f>
        <v>1440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3"/>
      <c r="U18" s="3"/>
      <c r="V18" s="3"/>
      <c r="W18" s="21"/>
      <c r="X18" s="237"/>
      <c r="Y18" s="237"/>
      <c r="Z18" s="3"/>
      <c r="AA18" s="237"/>
      <c r="AB18" s="237"/>
      <c r="AC18" s="3"/>
      <c r="AD18" s="3">
        <f t="shared" si="0"/>
        <v>0</v>
      </c>
      <c r="AE18" s="3"/>
      <c r="AG18" s="250"/>
      <c r="AH18" s="56"/>
      <c r="AI18" s="218"/>
      <c r="AJ18" s="56"/>
      <c r="AK18" s="218">
        <f t="shared" si="7"/>
        <v>0</v>
      </c>
      <c r="AL18" s="1"/>
      <c r="AM18" s="1"/>
    </row>
    <row r="19" spans="1:39" x14ac:dyDescent="0.25">
      <c r="A19" s="10" t="s">
        <v>26</v>
      </c>
      <c r="B19" s="315">
        <v>15</v>
      </c>
      <c r="C19" s="284">
        <f>B19*$B$3*2</f>
        <v>720</v>
      </c>
      <c r="D19" s="237">
        <v>30</v>
      </c>
      <c r="E19" s="237">
        <v>16</v>
      </c>
      <c r="F19" s="237">
        <v>8</v>
      </c>
      <c r="G19" s="237"/>
      <c r="H19" s="237">
        <v>35</v>
      </c>
      <c r="I19" s="237">
        <v>15</v>
      </c>
      <c r="J19" s="237">
        <v>12</v>
      </c>
      <c r="K19" s="237">
        <v>7</v>
      </c>
      <c r="L19" s="237">
        <v>5</v>
      </c>
      <c r="M19" s="237">
        <v>7</v>
      </c>
      <c r="N19" s="237">
        <v>6</v>
      </c>
      <c r="O19" s="237">
        <v>11</v>
      </c>
      <c r="P19" s="237"/>
      <c r="Q19" s="237">
        <v>10</v>
      </c>
      <c r="R19" s="237">
        <v>11</v>
      </c>
      <c r="S19" s="237">
        <v>10</v>
      </c>
      <c r="T19" s="3">
        <f t="shared" ref="T19:T26" si="11">D19+(E19*K19)+(F19*O19)</f>
        <v>230</v>
      </c>
      <c r="U19" s="3">
        <f t="shared" ref="U19:U26" si="12">D19+(E19*M19)+(F19*R19)</f>
        <v>230</v>
      </c>
      <c r="V19" s="3">
        <f t="shared" ref="V19:V26" si="13">T19+U19</f>
        <v>460</v>
      </c>
      <c r="W19" s="21">
        <f t="shared" ref="W19:W26" si="14">V19*$I$1</f>
        <v>897000</v>
      </c>
      <c r="X19" s="237">
        <v>1</v>
      </c>
      <c r="Y19" s="237">
        <v>1</v>
      </c>
      <c r="Z19" s="3">
        <f>(X19+Y19)*$I$2*$D$1*0.4</f>
        <v>48000</v>
      </c>
      <c r="AA19" s="237">
        <v>1</v>
      </c>
      <c r="AB19" s="237">
        <v>1</v>
      </c>
      <c r="AC19" s="3">
        <f>(AA19+AB19)*$I$2*$D$1*0.4</f>
        <v>48000</v>
      </c>
      <c r="AD19" s="3">
        <f t="shared" si="0"/>
        <v>509.23076923076923</v>
      </c>
      <c r="AE19" s="3"/>
      <c r="AG19" s="251">
        <v>16</v>
      </c>
      <c r="AH19" s="56">
        <f t="shared" ref="AH19:AH26" si="15">IF(AI19&gt;0,(V19-D19*2)*(L19+N19)/(K19+M19),0)</f>
        <v>314.28571428571428</v>
      </c>
      <c r="AI19" s="218">
        <f t="shared" si="6"/>
        <v>16</v>
      </c>
      <c r="AJ19" s="56">
        <f t="shared" ref="AJ19:AJ26" si="16">IF(AK19&gt;0,(Q19+S19)/(O19+R19)*F19*(O19+R19),0)</f>
        <v>160</v>
      </c>
      <c r="AK19" s="218">
        <f t="shared" si="7"/>
        <v>20</v>
      </c>
      <c r="AL19" s="3"/>
      <c r="AM19" s="1"/>
    </row>
    <row r="20" spans="1:39" x14ac:dyDescent="0.25">
      <c r="A20" s="10" t="s">
        <v>27</v>
      </c>
      <c r="B20" s="315">
        <v>8</v>
      </c>
      <c r="C20" s="284">
        <f>B20*$B$3*2</f>
        <v>384</v>
      </c>
      <c r="D20" s="237">
        <v>20</v>
      </c>
      <c r="E20" s="237">
        <v>10</v>
      </c>
      <c r="F20" s="237">
        <v>4</v>
      </c>
      <c r="G20" s="237"/>
      <c r="H20" s="237">
        <v>35</v>
      </c>
      <c r="I20" s="237">
        <v>15</v>
      </c>
      <c r="J20" s="237">
        <v>12</v>
      </c>
      <c r="K20" s="237">
        <v>7</v>
      </c>
      <c r="L20" s="237">
        <v>4</v>
      </c>
      <c r="M20" s="237">
        <v>7</v>
      </c>
      <c r="N20" s="237">
        <v>4</v>
      </c>
      <c r="O20" s="237">
        <v>11</v>
      </c>
      <c r="P20" s="237"/>
      <c r="Q20" s="237">
        <v>7</v>
      </c>
      <c r="R20" s="237">
        <v>11</v>
      </c>
      <c r="S20" s="237"/>
      <c r="T20" s="3">
        <f t="shared" si="11"/>
        <v>134</v>
      </c>
      <c r="U20" s="3">
        <f t="shared" si="12"/>
        <v>134</v>
      </c>
      <c r="V20" s="3">
        <f t="shared" si="13"/>
        <v>268</v>
      </c>
      <c r="W20" s="21">
        <f t="shared" si="14"/>
        <v>522600</v>
      </c>
      <c r="X20" s="237">
        <v>1</v>
      </c>
      <c r="Y20" s="237">
        <v>1</v>
      </c>
      <c r="Z20" s="3">
        <f t="shared" ref="Z20:Z26" si="17">(X20+Y20)*$I$2*$D$1*0.4</f>
        <v>48000</v>
      </c>
      <c r="AA20" s="237"/>
      <c r="AB20" s="237"/>
      <c r="AC20" s="3">
        <f t="shared" ref="AC20:AC26" si="18">(AA20+AB20)*$I$2*$D$1*0.4</f>
        <v>0</v>
      </c>
      <c r="AD20" s="3">
        <f t="shared" si="0"/>
        <v>292.61538461538464</v>
      </c>
      <c r="AE20" s="3"/>
      <c r="AG20" s="251"/>
      <c r="AH20" s="56">
        <f t="shared" si="15"/>
        <v>130.28571428571428</v>
      </c>
      <c r="AI20" s="218">
        <f t="shared" si="6"/>
        <v>15</v>
      </c>
      <c r="AJ20" s="56">
        <f t="shared" si="16"/>
        <v>28</v>
      </c>
      <c r="AK20" s="218">
        <f t="shared" si="7"/>
        <v>7</v>
      </c>
      <c r="AL20" s="3"/>
      <c r="AM20" s="1"/>
    </row>
    <row r="21" spans="1:39" x14ac:dyDescent="0.25">
      <c r="A21" s="10" t="s">
        <v>28</v>
      </c>
      <c r="B21" s="315">
        <v>7</v>
      </c>
      <c r="C21" s="284">
        <f>B21*$B$3*2</f>
        <v>336</v>
      </c>
      <c r="D21" s="237">
        <v>10</v>
      </c>
      <c r="E21" s="237">
        <v>10</v>
      </c>
      <c r="F21" s="237"/>
      <c r="G21" s="237"/>
      <c r="H21" s="237">
        <v>35</v>
      </c>
      <c r="I21" s="237"/>
      <c r="J21" s="237">
        <v>12</v>
      </c>
      <c r="K21" s="237">
        <v>7</v>
      </c>
      <c r="L21" s="237">
        <v>7</v>
      </c>
      <c r="M21" s="237">
        <v>7</v>
      </c>
      <c r="N21" s="237">
        <v>7</v>
      </c>
      <c r="O21" s="237">
        <f>+IF(F21&gt;0,$D$1/I21,0)</f>
        <v>0</v>
      </c>
      <c r="P21" s="237"/>
      <c r="Q21" s="237"/>
      <c r="R21" s="237"/>
      <c r="S21" s="237"/>
      <c r="T21" s="3">
        <f t="shared" si="11"/>
        <v>80</v>
      </c>
      <c r="U21" s="3">
        <f t="shared" si="12"/>
        <v>80</v>
      </c>
      <c r="V21" s="3">
        <f t="shared" si="13"/>
        <v>160</v>
      </c>
      <c r="W21" s="21">
        <f t="shared" si="14"/>
        <v>312000</v>
      </c>
      <c r="X21" s="237">
        <v>1</v>
      </c>
      <c r="Y21" s="237">
        <v>1</v>
      </c>
      <c r="Z21" s="3">
        <f t="shared" si="17"/>
        <v>48000</v>
      </c>
      <c r="AA21" s="237"/>
      <c r="AB21" s="237"/>
      <c r="AC21" s="3">
        <f t="shared" si="18"/>
        <v>0</v>
      </c>
      <c r="AD21" s="3">
        <f t="shared" si="0"/>
        <v>184.61538461538461</v>
      </c>
      <c r="AE21" s="3"/>
      <c r="AG21" s="251"/>
      <c r="AH21" s="56">
        <f t="shared" si="15"/>
        <v>140</v>
      </c>
      <c r="AI21" s="218">
        <f t="shared" si="6"/>
        <v>7</v>
      </c>
      <c r="AJ21" s="56">
        <f t="shared" si="16"/>
        <v>0</v>
      </c>
      <c r="AK21" s="218">
        <f t="shared" si="7"/>
        <v>0</v>
      </c>
      <c r="AL21" s="3"/>
      <c r="AM21" s="1"/>
    </row>
    <row r="22" spans="1:39" x14ac:dyDescent="0.25">
      <c r="A22" s="10" t="s">
        <v>66</v>
      </c>
      <c r="B22" s="315"/>
      <c r="C22" s="315"/>
      <c r="D22" s="237">
        <v>6</v>
      </c>
      <c r="E22" s="237"/>
      <c r="F22" s="237"/>
      <c r="G22" s="237"/>
      <c r="H22" s="237"/>
      <c r="I22" s="237"/>
      <c r="J22" s="237">
        <v>12</v>
      </c>
      <c r="K22" s="237">
        <v>0</v>
      </c>
      <c r="L22" s="237"/>
      <c r="M22" s="237"/>
      <c r="N22" s="237"/>
      <c r="O22" s="237">
        <f>+IF(F22&gt;0,$D$1/I22,0)</f>
        <v>0</v>
      </c>
      <c r="P22" s="237"/>
      <c r="Q22" s="237"/>
      <c r="R22" s="237"/>
      <c r="S22" s="237"/>
      <c r="T22" s="3">
        <f t="shared" si="11"/>
        <v>6</v>
      </c>
      <c r="U22" s="3">
        <f t="shared" si="12"/>
        <v>6</v>
      </c>
      <c r="V22" s="3">
        <f t="shared" si="13"/>
        <v>12</v>
      </c>
      <c r="W22" s="21">
        <f t="shared" si="14"/>
        <v>23400</v>
      </c>
      <c r="X22" s="237"/>
      <c r="Y22" s="237"/>
      <c r="Z22" s="3">
        <f t="shared" si="17"/>
        <v>0</v>
      </c>
      <c r="AA22" s="237"/>
      <c r="AB22" s="237"/>
      <c r="AC22" s="3">
        <f t="shared" si="18"/>
        <v>0</v>
      </c>
      <c r="AD22" s="3">
        <f t="shared" si="0"/>
        <v>12</v>
      </c>
      <c r="AE22" s="3"/>
      <c r="AG22" s="251">
        <v>12</v>
      </c>
      <c r="AH22" s="56">
        <f t="shared" si="15"/>
        <v>0</v>
      </c>
      <c r="AI22" s="218">
        <f t="shared" si="6"/>
        <v>0</v>
      </c>
      <c r="AJ22" s="56">
        <f t="shared" si="16"/>
        <v>0</v>
      </c>
      <c r="AK22" s="218">
        <f t="shared" si="7"/>
        <v>0</v>
      </c>
      <c r="AL22" s="3"/>
      <c r="AM22" s="1"/>
    </row>
    <row r="23" spans="1:39" x14ac:dyDescent="0.25">
      <c r="A23" s="10" t="s">
        <v>29</v>
      </c>
      <c r="B23" s="315"/>
      <c r="C23" s="315"/>
      <c r="D23" s="237"/>
      <c r="E23" s="237">
        <v>6</v>
      </c>
      <c r="F23" s="237"/>
      <c r="G23" s="237"/>
      <c r="H23" s="237">
        <v>35</v>
      </c>
      <c r="I23" s="237"/>
      <c r="J23" s="237">
        <v>12</v>
      </c>
      <c r="K23" s="237">
        <f>$D$1/H23</f>
        <v>5.7142857142857144</v>
      </c>
      <c r="L23" s="237">
        <v>6</v>
      </c>
      <c r="M23" s="237">
        <v>6</v>
      </c>
      <c r="N23" s="237">
        <v>6</v>
      </c>
      <c r="O23" s="237">
        <f>+IF(F23&gt;0,$D$1/I23,0)</f>
        <v>0</v>
      </c>
      <c r="P23" s="237"/>
      <c r="Q23" s="237"/>
      <c r="R23" s="237"/>
      <c r="S23" s="237"/>
      <c r="T23" s="3">
        <f t="shared" si="11"/>
        <v>34.285714285714285</v>
      </c>
      <c r="U23" s="3">
        <f t="shared" si="12"/>
        <v>36</v>
      </c>
      <c r="V23" s="3">
        <f t="shared" si="13"/>
        <v>70.285714285714278</v>
      </c>
      <c r="W23" s="21">
        <f t="shared" si="14"/>
        <v>137057.14285714284</v>
      </c>
      <c r="X23" s="237"/>
      <c r="Y23" s="237"/>
      <c r="Z23" s="3">
        <f t="shared" si="17"/>
        <v>0</v>
      </c>
      <c r="AA23" s="237"/>
      <c r="AB23" s="237"/>
      <c r="AC23" s="3">
        <f t="shared" si="18"/>
        <v>0</v>
      </c>
      <c r="AD23" s="3">
        <f t="shared" si="0"/>
        <v>70.285714285714278</v>
      </c>
      <c r="AE23" s="3"/>
      <c r="AG23" s="251"/>
      <c r="AH23" s="56">
        <f t="shared" si="15"/>
        <v>71.999999999999986</v>
      </c>
      <c r="AI23" s="218">
        <f t="shared" si="6"/>
        <v>6</v>
      </c>
      <c r="AJ23" s="56">
        <f t="shared" si="16"/>
        <v>0</v>
      </c>
      <c r="AK23" s="218">
        <f t="shared" si="7"/>
        <v>0</v>
      </c>
      <c r="AL23" s="3"/>
      <c r="AM23" s="1"/>
    </row>
    <row r="24" spans="1:39" x14ac:dyDescent="0.25">
      <c r="A24" s="10" t="s">
        <v>328</v>
      </c>
      <c r="B24" s="315"/>
      <c r="C24" s="315"/>
      <c r="D24" s="237"/>
      <c r="E24" s="237">
        <v>16</v>
      </c>
      <c r="F24" s="237"/>
      <c r="G24" s="237"/>
      <c r="H24" s="237"/>
      <c r="I24" s="237"/>
      <c r="J24" s="237"/>
      <c r="K24" s="237">
        <v>1</v>
      </c>
      <c r="L24" s="237">
        <v>1</v>
      </c>
      <c r="M24" s="237">
        <v>1</v>
      </c>
      <c r="N24" s="237">
        <v>1</v>
      </c>
      <c r="O24" s="237"/>
      <c r="P24" s="237"/>
      <c r="Q24" s="237"/>
      <c r="R24" s="237">
        <v>5</v>
      </c>
      <c r="S24" s="237"/>
      <c r="T24" s="3">
        <f t="shared" si="11"/>
        <v>16</v>
      </c>
      <c r="U24" s="3">
        <f t="shared" ref="U24" si="19">D24+(E24*M24)+(F24*R24)</f>
        <v>16</v>
      </c>
      <c r="V24" s="3">
        <f t="shared" si="13"/>
        <v>32</v>
      </c>
      <c r="W24" s="21">
        <f t="shared" si="14"/>
        <v>62400</v>
      </c>
      <c r="X24" s="237"/>
      <c r="Y24" s="237"/>
      <c r="Z24" s="3">
        <f t="shared" si="17"/>
        <v>0</v>
      </c>
      <c r="AA24" s="237"/>
      <c r="AB24" s="237"/>
      <c r="AC24" s="3">
        <f t="shared" si="18"/>
        <v>0</v>
      </c>
      <c r="AD24" s="3">
        <f t="shared" si="0"/>
        <v>32</v>
      </c>
      <c r="AE24" s="3"/>
      <c r="AG24" s="250"/>
      <c r="AH24" s="56">
        <f t="shared" si="15"/>
        <v>32</v>
      </c>
      <c r="AI24" s="218">
        <f t="shared" si="6"/>
        <v>1</v>
      </c>
      <c r="AJ24" s="56">
        <f t="shared" si="16"/>
        <v>0</v>
      </c>
      <c r="AK24" s="218">
        <f t="shared" si="7"/>
        <v>0</v>
      </c>
      <c r="AL24" s="3"/>
      <c r="AM24" s="1"/>
    </row>
    <row r="25" spans="1:39" x14ac:dyDescent="0.25">
      <c r="A25" s="10" t="s">
        <v>17</v>
      </c>
      <c r="B25" s="315"/>
      <c r="C25" s="315"/>
      <c r="D25" s="237">
        <v>3</v>
      </c>
      <c r="E25" s="237"/>
      <c r="F25" s="237"/>
      <c r="G25" s="237"/>
      <c r="H25" s="237"/>
      <c r="I25" s="237"/>
      <c r="J25" s="247"/>
      <c r="K25" s="237"/>
      <c r="L25" s="237"/>
      <c r="M25" s="237"/>
      <c r="N25" s="237"/>
      <c r="O25" s="237"/>
      <c r="P25" s="237"/>
      <c r="Q25" s="237"/>
      <c r="R25" s="237"/>
      <c r="S25" s="237"/>
      <c r="T25" s="3"/>
      <c r="U25" s="3"/>
      <c r="V25" s="3"/>
      <c r="W25" s="21"/>
      <c r="X25" s="237"/>
      <c r="Y25" s="237"/>
      <c r="Z25" s="3"/>
      <c r="AA25" s="237"/>
      <c r="AB25" s="237"/>
      <c r="AC25" s="3"/>
      <c r="AD25" s="3"/>
      <c r="AE25" s="3"/>
      <c r="AG25" s="250"/>
      <c r="AH25" s="56">
        <f t="shared" si="15"/>
        <v>0</v>
      </c>
      <c r="AI25" s="218">
        <f t="shared" si="6"/>
        <v>0</v>
      </c>
      <c r="AJ25" s="56">
        <f t="shared" si="16"/>
        <v>0</v>
      </c>
      <c r="AK25" s="218">
        <f t="shared" si="7"/>
        <v>0</v>
      </c>
      <c r="AL25" s="3"/>
      <c r="AM25" s="1"/>
    </row>
    <row r="26" spans="1:39" x14ac:dyDescent="0.25">
      <c r="A26" s="179" t="s">
        <v>42</v>
      </c>
      <c r="B26" s="316"/>
      <c r="C26" s="316"/>
      <c r="D26" s="236">
        <v>12</v>
      </c>
      <c r="E26" s="236"/>
      <c r="F26" s="236"/>
      <c r="G26" s="236"/>
      <c r="H26" s="236"/>
      <c r="I26" s="236"/>
      <c r="J26" s="249"/>
      <c r="K26" s="236"/>
      <c r="L26" s="236"/>
      <c r="M26" s="236"/>
      <c r="N26" s="236"/>
      <c r="O26" s="236">
        <f>+IF(F26&gt;0,$D$1/I26,0)</f>
        <v>0</v>
      </c>
      <c r="P26" s="236"/>
      <c r="Q26" s="236"/>
      <c r="R26" s="236"/>
      <c r="S26" s="236"/>
      <c r="T26" s="180">
        <f t="shared" si="11"/>
        <v>12</v>
      </c>
      <c r="U26" s="180">
        <f t="shared" si="12"/>
        <v>12</v>
      </c>
      <c r="V26" s="180">
        <f t="shared" si="13"/>
        <v>24</v>
      </c>
      <c r="W26" s="181">
        <f t="shared" si="14"/>
        <v>46800</v>
      </c>
      <c r="X26" s="236"/>
      <c r="Y26" s="236"/>
      <c r="Z26" s="3">
        <f t="shared" si="17"/>
        <v>0</v>
      </c>
      <c r="AA26" s="236"/>
      <c r="AB26" s="236"/>
      <c r="AC26" s="3">
        <f t="shared" si="18"/>
        <v>0</v>
      </c>
      <c r="AD26" s="180">
        <f t="shared" si="0"/>
        <v>24</v>
      </c>
      <c r="AE26" s="180"/>
      <c r="AG26" s="250"/>
      <c r="AH26" s="56">
        <f t="shared" si="15"/>
        <v>0</v>
      </c>
      <c r="AI26" s="218">
        <f t="shared" si="6"/>
        <v>0</v>
      </c>
      <c r="AJ26" s="56">
        <f t="shared" si="16"/>
        <v>0</v>
      </c>
      <c r="AK26" s="218">
        <f t="shared" si="7"/>
        <v>0</v>
      </c>
      <c r="AL26" s="180"/>
      <c r="AM26" s="183"/>
    </row>
    <row r="27" spans="1:39" s="182" customFormat="1" x14ac:dyDescent="0.25">
      <c r="A27" s="10"/>
      <c r="B27" s="315"/>
      <c r="C27" s="315"/>
      <c r="D27" s="8"/>
      <c r="E27" s="8"/>
      <c r="F27" s="8"/>
      <c r="G27" s="8"/>
      <c r="H27" s="8"/>
      <c r="I27" s="8"/>
      <c r="J27" s="3"/>
      <c r="K27" s="8"/>
      <c r="L27" s="8"/>
      <c r="M27" s="8"/>
      <c r="N27" s="8"/>
      <c r="O27" s="8"/>
      <c r="P27" s="8"/>
      <c r="Q27" s="8"/>
      <c r="R27" s="8"/>
      <c r="S27" s="8"/>
      <c r="T27" s="3"/>
      <c r="U27" s="3"/>
      <c r="V27" s="3"/>
      <c r="W27" s="21"/>
      <c r="X27" s="8"/>
      <c r="Y27" s="8"/>
      <c r="Z27" s="3"/>
      <c r="AA27" s="8"/>
      <c r="AB27" s="8"/>
      <c r="AC27" s="3"/>
      <c r="AD27" s="3"/>
      <c r="AE27" s="3"/>
      <c r="AG27" s="250"/>
      <c r="AH27" s="56"/>
      <c r="AI27" s="218"/>
      <c r="AJ27" s="183"/>
      <c r="AK27" s="265"/>
      <c r="AL27" s="180"/>
      <c r="AM27" s="183"/>
    </row>
    <row r="28" spans="1:39" s="182" customFormat="1" x14ac:dyDescent="0.25">
      <c r="A28" s="10"/>
      <c r="B28" s="315"/>
      <c r="C28" s="315"/>
      <c r="D28" s="8"/>
      <c r="E28" s="8"/>
      <c r="F28" s="8"/>
      <c r="G28" s="8"/>
      <c r="H28" s="8"/>
      <c r="I28" s="8"/>
      <c r="J28" s="3"/>
      <c r="K28" s="8"/>
      <c r="L28" s="8"/>
      <c r="M28" s="8"/>
      <c r="N28" s="8"/>
      <c r="O28" s="8"/>
      <c r="P28" s="8"/>
      <c r="Q28" s="8"/>
      <c r="R28" s="8"/>
      <c r="S28" s="8"/>
      <c r="T28" s="3"/>
      <c r="U28" s="3"/>
      <c r="V28" s="3"/>
      <c r="W28" s="21"/>
      <c r="X28" s="8"/>
      <c r="Y28" s="8"/>
      <c r="Z28" s="3"/>
      <c r="AA28" s="8"/>
      <c r="AB28" s="8"/>
      <c r="AC28" s="3"/>
      <c r="AD28" s="3"/>
      <c r="AE28" s="3"/>
      <c r="AG28" s="250"/>
      <c r="AH28" s="56"/>
      <c r="AI28" s="218"/>
      <c r="AJ28" s="183"/>
      <c r="AK28" s="265"/>
      <c r="AL28" s="180"/>
      <c r="AM28" s="183"/>
    </row>
    <row r="29" spans="1:39" ht="45" x14ac:dyDescent="0.25">
      <c r="A29" s="24" t="s">
        <v>9</v>
      </c>
      <c r="B29" s="284"/>
      <c r="C29" s="284">
        <f>SUM(C9,C18)</f>
        <v>2400</v>
      </c>
      <c r="D29" s="67">
        <f>SUM(D7:D22)</f>
        <v>138</v>
      </c>
      <c r="E29" s="9">
        <f>SUM(E7:E21)</f>
        <v>84</v>
      </c>
      <c r="F29" s="9">
        <f>SUM(F7:F21)</f>
        <v>24</v>
      </c>
      <c r="G29" s="8">
        <f>SUM(G7:G21)</f>
        <v>0</v>
      </c>
      <c r="H29" s="8"/>
      <c r="I29" s="8"/>
      <c r="J29" s="2"/>
      <c r="K29" s="97"/>
      <c r="L29" s="97"/>
      <c r="M29" s="97"/>
      <c r="N29" s="97"/>
      <c r="O29" s="97"/>
      <c r="P29" s="97"/>
      <c r="Q29" s="97"/>
      <c r="R29" s="97"/>
      <c r="S29" s="97"/>
      <c r="T29" s="4">
        <f>SUM(T7:T26)</f>
        <v>1091.4285714285713</v>
      </c>
      <c r="U29" s="4">
        <f>SUM(U7:U26)</f>
        <v>1100</v>
      </c>
      <c r="V29" s="4">
        <f>SUM(V7:V26)</f>
        <v>2191.4285714285711</v>
      </c>
      <c r="W29" s="88">
        <f>SUM(W7:W21)</f>
        <v>4003628.5714285714</v>
      </c>
      <c r="X29" s="99">
        <f t="shared" ref="X29:AC29" si="20">SUM(X7:X26)</f>
        <v>6</v>
      </c>
      <c r="Y29" s="99">
        <f t="shared" si="20"/>
        <v>6</v>
      </c>
      <c r="Z29" s="99">
        <f t="shared" si="20"/>
        <v>288000</v>
      </c>
      <c r="AA29" s="99">
        <f t="shared" si="20"/>
        <v>3</v>
      </c>
      <c r="AB29" s="99">
        <f t="shared" si="20"/>
        <v>3</v>
      </c>
      <c r="AC29" s="99">
        <f t="shared" si="20"/>
        <v>144000</v>
      </c>
      <c r="AD29" s="99">
        <f>SUM(AD7:AD26)</f>
        <v>2412.967032967033</v>
      </c>
      <c r="AE29" s="4">
        <f>SUM(W29,AC29,Z29)</f>
        <v>4435628.5714285709</v>
      </c>
      <c r="AF29" s="184" t="s">
        <v>363</v>
      </c>
      <c r="AG29" s="2">
        <f>SUM(AG6:AG25)</f>
        <v>28</v>
      </c>
      <c r="AH29" s="269">
        <f t="shared" ref="AH29:AJ29" si="21">SUM(AH6:AH25)</f>
        <v>1410.4523809523807</v>
      </c>
      <c r="AI29" s="2"/>
      <c r="AJ29" s="269">
        <f t="shared" si="21"/>
        <v>400</v>
      </c>
      <c r="AK29" s="269"/>
      <c r="AL29" s="269">
        <f>AL30/5</f>
        <v>288</v>
      </c>
      <c r="AM29" s="2"/>
    </row>
    <row r="30" spans="1:39" s="7" customFormat="1" ht="30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1"/>
      <c r="X30" s="3"/>
      <c r="Y30" s="3"/>
      <c r="Z30" s="3"/>
      <c r="AA30" s="3"/>
      <c r="AB30" s="3"/>
      <c r="AC30" s="3"/>
      <c r="AD30" s="3"/>
      <c r="AE30" s="3"/>
      <c r="AF30" s="184" t="s">
        <v>362</v>
      </c>
      <c r="AG30" s="2">
        <f>SUM(AG7:AG26)*5</f>
        <v>140</v>
      </c>
      <c r="AH30" s="269">
        <f>SUM(AH7:AH26)*5</f>
        <v>7052.2619047619037</v>
      </c>
      <c r="AI30" s="2"/>
      <c r="AJ30" s="269">
        <f>SUM(AJ7:AJ26)*5</f>
        <v>2000</v>
      </c>
      <c r="AK30" s="269"/>
      <c r="AL30" s="269">
        <f>(Z29+AC29)/I2</f>
        <v>1440</v>
      </c>
      <c r="AM30" s="1"/>
    </row>
    <row r="31" spans="1:39" x14ac:dyDescent="0.25">
      <c r="AG31" s="1" t="s">
        <v>331</v>
      </c>
      <c r="AH31" s="1"/>
      <c r="AI31" s="1"/>
      <c r="AJ31" s="1"/>
      <c r="AK31" s="1"/>
      <c r="AL31" s="1"/>
    </row>
    <row r="32" spans="1:39" ht="16.5" customHeight="1" x14ac:dyDescent="0.25"/>
    <row r="36" ht="16.5" customHeight="1" x14ac:dyDescent="0.25"/>
  </sheetData>
  <sheetProtection selectLockedCells="1"/>
  <customSheetViews>
    <customSheetView guid="{749D43A3-052D-442F-AE88-F6CCB83A1282}" fitToPage="1" hiddenColumns="1" topLeftCell="A4">
      <pane xSplit="1" topLeftCell="X1" activePane="topRight" state="frozen"/>
      <selection pane="topRight" activeCell="Q12" sqref="Q12"/>
      <pageMargins left="7.874015748031496E-2" right="7.874015748031496E-2" top="0.78740157480314965" bottom="0.78740157480314965" header="0.31496062992125984" footer="0.31496062992125984"/>
      <pageSetup paperSize="9" scale="85" orientation="landscape" r:id="rId1"/>
      <headerFooter>
        <oddHeader>&amp;C&amp;"-,Fet"&amp;14 2. studieår</oddHeader>
      </headerFooter>
    </customSheetView>
    <customSheetView guid="{E5349645-7714-4437-B9BC-26ED822E5BC5}" fitToPage="1" hiddenColumns="1">
      <pane xSplit="1" topLeftCell="Y1" activePane="topRight" state="frozen"/>
      <selection pane="topRight" activeCell="AG15" sqref="AG15"/>
      <pageMargins left="7.874015748031496E-2" right="7.874015748031496E-2" top="0.78740157480314965" bottom="0.78740157480314965" header="0.31496062992125984" footer="0.31496062992125984"/>
      <pageSetup paperSize="9" scale="85" orientation="landscape" r:id="rId2"/>
      <headerFooter>
        <oddHeader>&amp;C&amp;"-,Fet"&amp;14 2. studieår</oddHeader>
      </headerFooter>
    </customSheetView>
    <customSheetView guid="{F38A39FA-EF57-4062-A2AD-F3BEB88C5762}" fitToPage="1" hiddenColumns="1" topLeftCell="A8">
      <selection activeCell="AE22" sqref="AE22"/>
      <pageMargins left="7.874015748031496E-2" right="7.874015748031496E-2" top="0.78740157480314965" bottom="0.78740157480314965" header="0.31496062992125984" footer="0.31496062992125984"/>
      <pageSetup paperSize="9" scale="85" orientation="landscape" r:id="rId3"/>
      <headerFooter>
        <oddHeader>&amp;C&amp;"-,Fet"&amp;14 2. studieår</oddHeader>
      </headerFooter>
    </customSheetView>
    <customSheetView guid="{83C69039-3E29-46E1-85FB-B9165E0BFA91}" fitToPage="1" hiddenColumns="1">
      <pane xSplit="1" topLeftCell="S1" activePane="topRight" state="frozen"/>
      <selection pane="topRight" activeCell="A11" sqref="A11:XFD11"/>
      <pageMargins left="7.874015748031496E-2" right="7.874015748031496E-2" top="0.78740157480314965" bottom="0.78740157480314965" header="0.31496062992125984" footer="0.31496062992125984"/>
      <pageSetup paperSize="9" scale="44" orientation="landscape" r:id="rId4"/>
      <headerFooter>
        <oddHeader>&amp;C&amp;"-,Fet"&amp;14 2. studieår</oddHeader>
      </headerFooter>
    </customSheetView>
    <customSheetView guid="{C1FECEF4-D739-4F39-9B89-CF4C04A77A9B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5"/>
      <headerFooter>
        <oddHeader>&amp;C&amp;"-,Fet"&amp;14 2. studieår</oddHeader>
      </headerFooter>
    </customSheetView>
    <customSheetView guid="{1241DC17-BD41-46C5-9DB1-684763A09F24}" fitToPage="1" hiddenColumns="1">
      <pane xSplit="1" topLeftCell="B1" activePane="topRight" state="frozen"/>
      <selection pane="topRight" activeCell="I7" sqref="I7"/>
      <pageMargins left="7.874015748031496E-2" right="7.874015748031496E-2" top="0.78740157480314965" bottom="0.78740157480314965" header="0.31496062992125984" footer="0.31496062992125984"/>
      <pageSetup paperSize="9" scale="44" orientation="landscape" r:id="rId6"/>
      <headerFooter>
        <oddHeader>&amp;C&amp;"-,Fet"&amp;14 2. studieår</oddHeader>
      </headerFooter>
    </customSheetView>
    <customSheetView guid="{91227156-ECBD-48FD-8964-78F3608400FC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7"/>
      <headerFooter>
        <oddHeader>&amp;C&amp;"-,Fet"&amp;14 2. studieår</oddHeader>
      </headerFooter>
    </customSheetView>
    <customSheetView guid="{B76C0EA9-E79B-4DA2-9ADE-66DB47109F8F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8"/>
      <headerFooter>
        <oddHeader>&amp;C&amp;"-,Fet"&amp;14 2. studieår</oddHeader>
      </headerFooter>
    </customSheetView>
    <customSheetView guid="{726FF687-50E0-4F8A-BCCB-6DA9E6D367D4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9"/>
      <headerFooter>
        <oddHeader>&amp;C&amp;"-,Fet"&amp;14 2. studieår</oddHeader>
      </headerFooter>
    </customSheetView>
    <customSheetView guid="{BB9ED292-532F-438C-A4A6-F8D66D70E0E7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0"/>
      <headerFooter>
        <oddHeader>&amp;C&amp;"-,Fet"&amp;14 2. studieår</oddHeader>
      </headerFooter>
    </customSheetView>
    <customSheetView guid="{7AE955BB-7BF8-4CA4-ABF1-6A0BB53A48AD}" fitToPage="1" hiddenRows="1" hiddenColumns="1" topLeftCell="H1">
      <selection activeCell="AI12" sqref="AI12"/>
      <pageMargins left="7.874015748031496E-2" right="7.874015748031496E-2" top="0.78740157480314965" bottom="0.78740157480314965" header="0.31496062992125984" footer="0.31496062992125984"/>
      <pageSetup paperSize="9" scale="85" orientation="landscape" r:id="rId11"/>
      <headerFooter>
        <oddHeader>&amp;C&amp;"-,Fet"&amp;14 2. studieår</oddHeader>
      </headerFooter>
    </customSheetView>
    <customSheetView guid="{43EFFC0A-CCC0-43DD-A273-4AF58757EC00}" fitToPage="1" hiddenColumns="1" topLeftCell="A8">
      <selection activeCell="AI20" sqref="AI20"/>
      <pageMargins left="7.874015748031496E-2" right="7.874015748031496E-2" top="0.78740157480314965" bottom="0.78740157480314965" header="0.31496062992125984" footer="0.31496062992125984"/>
      <pageSetup paperSize="9" scale="85" orientation="landscape" r:id="rId12"/>
      <headerFooter>
        <oddHeader>&amp;C&amp;"-,Fet"&amp;14 2. studieår</oddHeader>
      </headerFooter>
    </customSheetView>
    <customSheetView guid="{1283C6B5-B05C-447B-8854-CDB081C03FD4}" fitToPage="1" hiddenColumns="1">
      <pane xSplit="1" topLeftCell="D1" activePane="topRight" state="frozen"/>
      <selection pane="topRight" activeCell="D12" sqref="D12"/>
      <pageMargins left="7.874015748031496E-2" right="7.874015748031496E-2" top="0.78740157480314965" bottom="0.78740157480314965" header="0.31496062992125984" footer="0.31496062992125984"/>
      <pageSetup paperSize="9" scale="85" orientation="landscape" r:id="rId13"/>
      <headerFooter>
        <oddHeader>&amp;C&amp;"-,Fet"&amp;14 2. studieår</oddHeader>
      </headerFooter>
    </customSheetView>
    <customSheetView guid="{CB7E9FB3-C7A3-44DE-98E4-19C23B487785}" fitToPage="1" hiddenColumns="1" topLeftCell="A13">
      <pane xSplit="1" topLeftCell="B1" activePane="topRight" state="frozen"/>
      <selection pane="topRight" activeCell="E26" sqref="E26"/>
      <pageMargins left="7.874015748031496E-2" right="7.874015748031496E-2" top="0.78740157480314965" bottom="0.78740157480314965" header="0.31496062992125984" footer="0.31496062992125984"/>
      <pageSetup paperSize="9" scale="85" orientation="landscape" r:id="rId14"/>
      <headerFooter>
        <oddHeader>&amp;C&amp;"-,Fet"&amp;14 2. studieår</oddHeader>
      </headerFooter>
    </customSheetView>
  </customSheetViews>
  <mergeCells count="4">
    <mergeCell ref="AG1:AM1"/>
    <mergeCell ref="AG4:AM4"/>
    <mergeCell ref="AH5:AI5"/>
    <mergeCell ref="AJ5:AK5"/>
  </mergeCells>
  <pageMargins left="7.874015748031496E-2" right="7.874015748031496E-2" top="0.78740157480314965" bottom="0.78740157480314965" header="0.31496062992125984" footer="0.31496062992125984"/>
  <pageSetup paperSize="8" scale="54" orientation="landscape" r:id="rId15"/>
  <headerFooter>
    <oddHeader>&amp;C&amp;"-,Fet"&amp;14 2. studieår</oddHeader>
  </headerFooter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U36"/>
  <sheetViews>
    <sheetView zoomScale="90" zoomScaleNormal="90" workbookViewId="0">
      <pane xSplit="1" topLeftCell="B1" activePane="topRight" state="frozen"/>
      <selection activeCell="AE19" sqref="AE19"/>
      <selection pane="topRight" activeCell="L35" sqref="L35"/>
    </sheetView>
  </sheetViews>
  <sheetFormatPr defaultColWidth="11.42578125" defaultRowHeight="15" x14ac:dyDescent="0.25"/>
  <cols>
    <col min="1" max="1" width="42.42578125" bestFit="1" customWidth="1"/>
    <col min="2" max="2" width="12.42578125" customWidth="1"/>
    <col min="3" max="3" width="19.140625" bestFit="1" customWidth="1"/>
    <col min="4" max="4" width="14.28515625" customWidth="1"/>
    <col min="5" max="5" width="10.85546875" customWidth="1"/>
    <col min="6" max="6" width="9.140625" hidden="1" customWidth="1"/>
    <col min="7" max="7" width="13.42578125" customWidth="1"/>
    <col min="8" max="8" width="10.42578125" customWidth="1"/>
    <col min="9" max="9" width="9.140625" hidden="1" customWidth="1"/>
    <col min="10" max="10" width="12.140625" customWidth="1"/>
    <col min="11" max="12" width="9.140625" customWidth="1"/>
    <col min="13" max="13" width="9.140625" hidden="1" customWidth="1"/>
    <col min="14" max="17" width="9.140625" customWidth="1"/>
    <col min="18" max="19" width="11" customWidth="1"/>
    <col min="20" max="20" width="9.140625" customWidth="1"/>
    <col min="21" max="21" width="9.85546875" style="5" bestFit="1" customWidth="1"/>
    <col min="22" max="27" width="9.140625" style="5" customWidth="1"/>
    <col min="28" max="28" width="11.85546875" style="5" customWidth="1"/>
    <col min="29" max="29" width="12.42578125" style="5" customWidth="1"/>
    <col min="30" max="30" width="17.140625" customWidth="1"/>
    <col min="31" max="31" width="11.5703125" customWidth="1"/>
    <col min="32" max="32" width="14.7109375" customWidth="1"/>
    <col min="33" max="38" width="9.140625" customWidth="1"/>
    <col min="39" max="39" width="11.7109375" customWidth="1"/>
    <col min="40" max="40" width="13.28515625" customWidth="1"/>
    <col min="41" max="41" width="10.7109375" customWidth="1"/>
    <col min="42" max="42" width="13" customWidth="1"/>
    <col min="43" max="43" width="11.140625" customWidth="1"/>
    <col min="44" max="44" width="14" customWidth="1"/>
    <col min="45" max="45" width="11.5703125" customWidth="1"/>
    <col min="46" max="46" width="13.5703125" customWidth="1"/>
    <col min="47" max="260" width="9.140625" customWidth="1"/>
  </cols>
  <sheetData>
    <row r="1" spans="1:47" ht="30" x14ac:dyDescent="0.35">
      <c r="A1" s="277" t="s">
        <v>6</v>
      </c>
      <c r="B1" s="278"/>
      <c r="C1" s="278"/>
      <c r="D1" s="292">
        <v>215</v>
      </c>
      <c r="E1" s="166"/>
      <c r="F1" s="7"/>
      <c r="G1" s="165" t="s">
        <v>10</v>
      </c>
      <c r="H1" s="252">
        <v>1950</v>
      </c>
      <c r="K1" s="70" t="s">
        <v>375</v>
      </c>
      <c r="AE1" s="272"/>
      <c r="AF1" s="273" t="s">
        <v>371</v>
      </c>
      <c r="AG1" s="273"/>
      <c r="AH1" s="273"/>
      <c r="AI1" s="273"/>
      <c r="AJ1" s="273"/>
      <c r="AK1" s="273"/>
    </row>
    <row r="2" spans="1:47" ht="30" customHeight="1" x14ac:dyDescent="0.25">
      <c r="A2" s="280" t="s">
        <v>7</v>
      </c>
      <c r="B2" s="281"/>
      <c r="C2" s="282"/>
      <c r="D2" s="283">
        <v>2400</v>
      </c>
      <c r="E2" s="166"/>
      <c r="F2" s="7"/>
      <c r="G2" s="165" t="s">
        <v>11</v>
      </c>
      <c r="H2" s="253">
        <v>300</v>
      </c>
      <c r="AD2" s="5"/>
      <c r="AE2" s="274"/>
      <c r="AF2" s="274"/>
      <c r="AG2" s="274"/>
      <c r="AH2" s="274"/>
      <c r="AI2" s="274"/>
      <c r="AJ2" s="274"/>
      <c r="AK2" s="274"/>
    </row>
    <row r="3" spans="1:47" x14ac:dyDescent="0.25">
      <c r="A3" s="277" t="s">
        <v>109</v>
      </c>
      <c r="B3" s="284">
        <v>24</v>
      </c>
      <c r="C3" s="285"/>
      <c r="D3" s="286"/>
      <c r="E3" s="55"/>
      <c r="F3" s="55"/>
      <c r="G3" s="14"/>
      <c r="H3" s="14"/>
      <c r="AD3" s="5"/>
      <c r="AE3" s="275" t="s">
        <v>124</v>
      </c>
      <c r="AF3" s="275" t="s">
        <v>118</v>
      </c>
      <c r="AG3" s="275"/>
      <c r="AH3" s="275" t="s">
        <v>119</v>
      </c>
      <c r="AI3" s="275" t="s">
        <v>121</v>
      </c>
      <c r="AJ3" s="275" t="s">
        <v>120</v>
      </c>
      <c r="AK3" s="276"/>
    </row>
    <row r="4" spans="1:47" x14ac:dyDescent="0.25">
      <c r="D4" s="28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D4" s="5"/>
      <c r="AE4" s="276"/>
      <c r="AF4" s="276"/>
      <c r="AG4" s="276"/>
      <c r="AH4" s="276"/>
      <c r="AI4" s="276">
        <v>1</v>
      </c>
      <c r="AJ4" s="276"/>
      <c r="AK4" s="276"/>
    </row>
    <row r="5" spans="1:47" x14ac:dyDescent="0.2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AE5" s="185" t="s">
        <v>122</v>
      </c>
      <c r="AF5" s="185"/>
      <c r="AG5" s="185"/>
      <c r="AH5" s="185"/>
      <c r="AI5" s="185"/>
      <c r="AJ5" s="185"/>
      <c r="AK5" s="1"/>
    </row>
    <row r="6" spans="1:47" s="28" customFormat="1" ht="84" customHeight="1" x14ac:dyDescent="0.25">
      <c r="A6" s="62" t="s">
        <v>1</v>
      </c>
      <c r="B6" s="287" t="s">
        <v>255</v>
      </c>
      <c r="C6" s="287" t="s">
        <v>110</v>
      </c>
      <c r="D6" s="63" t="s">
        <v>274</v>
      </c>
      <c r="E6" s="63" t="s">
        <v>256</v>
      </c>
      <c r="F6" s="63" t="s">
        <v>261</v>
      </c>
      <c r="G6" s="63" t="s">
        <v>12</v>
      </c>
      <c r="H6" s="63" t="s">
        <v>3</v>
      </c>
      <c r="I6" s="63" t="s">
        <v>4</v>
      </c>
      <c r="J6" s="63" t="s">
        <v>5</v>
      </c>
      <c r="K6" s="60" t="s">
        <v>334</v>
      </c>
      <c r="L6" s="60" t="s">
        <v>335</v>
      </c>
      <c r="M6" s="60" t="s">
        <v>336</v>
      </c>
      <c r="N6" s="60" t="s">
        <v>338</v>
      </c>
      <c r="O6" s="63" t="s">
        <v>337</v>
      </c>
      <c r="P6" s="63" t="s">
        <v>138</v>
      </c>
      <c r="Q6" s="63" t="s">
        <v>139</v>
      </c>
      <c r="R6" s="64" t="s">
        <v>128</v>
      </c>
      <c r="S6" s="64" t="s">
        <v>129</v>
      </c>
      <c r="T6" s="64" t="s">
        <v>116</v>
      </c>
      <c r="U6" s="65" t="s">
        <v>132</v>
      </c>
      <c r="V6" s="102" t="s">
        <v>226</v>
      </c>
      <c r="W6" s="102" t="s">
        <v>225</v>
      </c>
      <c r="X6" s="101" t="s">
        <v>130</v>
      </c>
      <c r="Y6" s="91" t="s">
        <v>227</v>
      </c>
      <c r="Z6" s="91" t="s">
        <v>228</v>
      </c>
      <c r="AA6" s="65" t="s">
        <v>131</v>
      </c>
      <c r="AB6" s="65" t="s">
        <v>263</v>
      </c>
      <c r="AC6" s="65" t="s">
        <v>262</v>
      </c>
      <c r="AE6" s="84">
        <v>620231</v>
      </c>
      <c r="AF6" s="188">
        <v>620232</v>
      </c>
      <c r="AG6" s="189"/>
      <c r="AH6" s="84">
        <v>620233</v>
      </c>
      <c r="AI6" s="84">
        <v>620234</v>
      </c>
      <c r="AJ6" s="188">
        <v>620235</v>
      </c>
      <c r="AK6" s="189"/>
      <c r="AM6"/>
      <c r="AN6"/>
      <c r="AO6"/>
      <c r="AP6"/>
      <c r="AQ6"/>
      <c r="AR6"/>
      <c r="AS6"/>
      <c r="AT6"/>
      <c r="AU6"/>
    </row>
    <row r="7" spans="1:47" s="28" customFormat="1" ht="75" x14ac:dyDescent="0.25">
      <c r="A7" s="2" t="s">
        <v>47</v>
      </c>
      <c r="B7" s="288"/>
      <c r="C7" s="28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"/>
      <c r="S7" s="3"/>
      <c r="T7" s="3"/>
      <c r="U7" s="3"/>
      <c r="V7" s="8"/>
      <c r="W7" s="8"/>
      <c r="X7" s="3"/>
      <c r="Y7" s="8"/>
      <c r="Z7" s="8"/>
      <c r="AA7" s="3"/>
      <c r="AB7" s="3"/>
      <c r="AC7" s="3"/>
      <c r="AE7" s="264" t="s">
        <v>345</v>
      </c>
      <c r="AF7" s="96" t="s">
        <v>141</v>
      </c>
      <c r="AG7" s="103" t="s">
        <v>133</v>
      </c>
      <c r="AH7" s="96" t="s">
        <v>141</v>
      </c>
      <c r="AI7" s="96" t="s">
        <v>141</v>
      </c>
      <c r="AJ7" s="96" t="s">
        <v>141</v>
      </c>
      <c r="AK7" s="103" t="s">
        <v>134</v>
      </c>
      <c r="AM7"/>
      <c r="AN7"/>
      <c r="AO7"/>
      <c r="AP7"/>
      <c r="AQ7"/>
      <c r="AR7"/>
      <c r="AS7"/>
      <c r="AT7"/>
      <c r="AU7"/>
    </row>
    <row r="8" spans="1:47" s="28" customFormat="1" x14ac:dyDescent="0.25">
      <c r="A8" s="2" t="s">
        <v>111</v>
      </c>
      <c r="B8" s="288">
        <v>30</v>
      </c>
      <c r="C8" s="288">
        <f t="shared" ref="C8:C13" si="0">$B$3*B8*2</f>
        <v>1440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3"/>
      <c r="S8" s="3"/>
      <c r="T8" s="3"/>
      <c r="U8" s="3"/>
      <c r="V8" s="237"/>
      <c r="W8" s="237"/>
      <c r="X8" s="3"/>
      <c r="Y8" s="237"/>
      <c r="Z8" s="237"/>
      <c r="AA8" s="3"/>
      <c r="AB8" s="3"/>
      <c r="AC8" s="3"/>
      <c r="AE8" s="185"/>
      <c r="AF8" s="56"/>
      <c r="AG8" s="218"/>
      <c r="AH8" s="185"/>
      <c r="AI8" s="185"/>
      <c r="AJ8" s="185"/>
      <c r="AK8" s="106"/>
      <c r="AM8"/>
      <c r="AN8"/>
      <c r="AO8"/>
      <c r="AP8"/>
      <c r="AQ8"/>
      <c r="AR8"/>
      <c r="AS8"/>
      <c r="AT8"/>
      <c r="AU8"/>
    </row>
    <row r="9" spans="1:47" x14ac:dyDescent="0.25">
      <c r="A9" s="1" t="s">
        <v>17</v>
      </c>
      <c r="B9" s="276">
        <v>1</v>
      </c>
      <c r="C9" s="288">
        <f t="shared" si="0"/>
        <v>48</v>
      </c>
      <c r="D9" s="237">
        <v>8</v>
      </c>
      <c r="E9" s="237"/>
      <c r="F9" s="237"/>
      <c r="G9" s="237"/>
      <c r="H9" s="237"/>
      <c r="I9" s="237">
        <v>15</v>
      </c>
      <c r="J9" s="237"/>
      <c r="K9" s="237"/>
      <c r="L9" s="237"/>
      <c r="M9" s="237">
        <f>+IF(F9&gt;0,$D$1/I9,0)</f>
        <v>0</v>
      </c>
      <c r="N9" s="237"/>
      <c r="O9" s="237"/>
      <c r="P9" s="237"/>
      <c r="Q9" s="237"/>
      <c r="R9" s="3">
        <f t="shared" ref="R9:R17" si="1">D9+(E9*K9)+(G9*P9)</f>
        <v>8</v>
      </c>
      <c r="S9" s="3">
        <f t="shared" ref="S9:S17" si="2">D9+(E9*N9)+(G9*Q9)</f>
        <v>8</v>
      </c>
      <c r="T9" s="3">
        <f>R9+S9</f>
        <v>16</v>
      </c>
      <c r="U9" s="3">
        <f t="shared" ref="U9:U14" si="3">T9*$H$1</f>
        <v>31200</v>
      </c>
      <c r="V9" s="237"/>
      <c r="W9" s="237"/>
      <c r="X9" s="3">
        <f t="shared" ref="X9:X25" si="4">(V9+W9)*$H$2*$D$1*0.5</f>
        <v>0</v>
      </c>
      <c r="Y9" s="237"/>
      <c r="Z9" s="237"/>
      <c r="AA9" s="3">
        <f t="shared" ref="AA9:AA25" si="5">(Y9+Z9)*$H$2*$D$1*0.5</f>
        <v>0</v>
      </c>
      <c r="AB9" s="3">
        <f t="shared" ref="AB9:AB25" si="6">(X9+AA9)/$H$1+T9</f>
        <v>16</v>
      </c>
      <c r="AC9" s="3"/>
      <c r="AE9" s="94"/>
      <c r="AF9" s="1"/>
      <c r="AG9" s="218">
        <f>SUM(O9,L9)</f>
        <v>0</v>
      </c>
      <c r="AH9" s="1"/>
      <c r="AI9" s="1"/>
      <c r="AJ9" s="1"/>
      <c r="AK9" s="68"/>
    </row>
    <row r="10" spans="1:47" x14ac:dyDescent="0.25">
      <c r="A10" s="1" t="s">
        <v>364</v>
      </c>
      <c r="B10" s="276">
        <v>14</v>
      </c>
      <c r="C10" s="288">
        <f t="shared" si="0"/>
        <v>672</v>
      </c>
      <c r="D10" s="236">
        <v>24</v>
      </c>
      <c r="E10" s="254">
        <v>18</v>
      </c>
      <c r="F10" s="236"/>
      <c r="G10" s="236"/>
      <c r="H10" s="236">
        <v>32</v>
      </c>
      <c r="I10" s="236">
        <v>15</v>
      </c>
      <c r="J10" s="236"/>
      <c r="K10" s="236">
        <v>7</v>
      </c>
      <c r="L10" s="236">
        <v>3</v>
      </c>
      <c r="M10" s="236">
        <f>+IF(F10&gt;0,$D$1/I10,0)</f>
        <v>0</v>
      </c>
      <c r="N10" s="236">
        <v>7</v>
      </c>
      <c r="O10" s="236">
        <v>3</v>
      </c>
      <c r="P10" s="236"/>
      <c r="Q10" s="237"/>
      <c r="R10" s="3">
        <f t="shared" si="1"/>
        <v>150</v>
      </c>
      <c r="S10" s="3">
        <f t="shared" si="2"/>
        <v>150</v>
      </c>
      <c r="T10" s="3">
        <f t="shared" ref="T10:T25" si="7">R10+S10</f>
        <v>300</v>
      </c>
      <c r="U10" s="3">
        <f>T10*$H$1</f>
        <v>585000</v>
      </c>
      <c r="V10" s="237">
        <v>1</v>
      </c>
      <c r="W10" s="237">
        <v>1</v>
      </c>
      <c r="X10" s="3">
        <f t="shared" si="4"/>
        <v>64500</v>
      </c>
      <c r="Y10" s="237">
        <v>1</v>
      </c>
      <c r="Z10" s="237">
        <v>1</v>
      </c>
      <c r="AA10" s="3">
        <f t="shared" si="5"/>
        <v>64500</v>
      </c>
      <c r="AB10" s="3">
        <f t="shared" si="6"/>
        <v>366.15384615384619</v>
      </c>
      <c r="AC10" s="3"/>
      <c r="AE10" s="246">
        <v>0</v>
      </c>
      <c r="AF10" s="1"/>
      <c r="AG10" s="218">
        <f>SUM(O10,L10)</f>
        <v>6</v>
      </c>
      <c r="AH10" s="1"/>
      <c r="AI10" s="1"/>
      <c r="AJ10" s="1"/>
      <c r="AK10" s="68"/>
    </row>
    <row r="11" spans="1:47" x14ac:dyDescent="0.25">
      <c r="A11" s="1" t="s">
        <v>53</v>
      </c>
      <c r="B11" s="276">
        <v>6</v>
      </c>
      <c r="C11" s="288">
        <f t="shared" si="0"/>
        <v>288</v>
      </c>
      <c r="D11" s="236">
        <v>10</v>
      </c>
      <c r="E11" s="236">
        <v>6</v>
      </c>
      <c r="F11" s="236"/>
      <c r="G11" s="236"/>
      <c r="H11" s="236">
        <v>32</v>
      </c>
      <c r="I11" s="236"/>
      <c r="J11" s="236"/>
      <c r="K11" s="236">
        <v>7</v>
      </c>
      <c r="L11" s="236">
        <v>3</v>
      </c>
      <c r="M11" s="236"/>
      <c r="N11" s="236">
        <v>7</v>
      </c>
      <c r="O11" s="236">
        <v>3</v>
      </c>
      <c r="P11" s="236"/>
      <c r="Q11" s="237"/>
      <c r="R11" s="3">
        <f t="shared" si="1"/>
        <v>52</v>
      </c>
      <c r="S11" s="3">
        <f t="shared" si="2"/>
        <v>52</v>
      </c>
      <c r="T11" s="3">
        <f t="shared" si="7"/>
        <v>104</v>
      </c>
      <c r="U11" s="3">
        <f t="shared" si="3"/>
        <v>202800</v>
      </c>
      <c r="V11" s="237">
        <v>1</v>
      </c>
      <c r="W11" s="237">
        <v>1</v>
      </c>
      <c r="X11" s="3">
        <f t="shared" si="4"/>
        <v>64500</v>
      </c>
      <c r="Y11" s="237"/>
      <c r="Z11" s="237"/>
      <c r="AA11" s="3">
        <f t="shared" si="5"/>
        <v>0</v>
      </c>
      <c r="AB11" s="3">
        <f t="shared" si="6"/>
        <v>137.07692307692309</v>
      </c>
      <c r="AC11" s="3"/>
      <c r="AE11" s="246">
        <v>0</v>
      </c>
      <c r="AF11" s="56">
        <f>IF(AG11&gt;0,(T11-D11*2)*(L11+O11)/(K11+N11),0)</f>
        <v>36</v>
      </c>
      <c r="AG11" s="218">
        <f>SUM(O11,L11)</f>
        <v>6</v>
      </c>
      <c r="AH11" s="1"/>
      <c r="AI11" s="1"/>
      <c r="AJ11" s="1"/>
      <c r="AK11" s="68"/>
    </row>
    <row r="12" spans="1:47" x14ac:dyDescent="0.25">
      <c r="A12" s="1" t="s">
        <v>31</v>
      </c>
      <c r="B12" s="276">
        <v>4</v>
      </c>
      <c r="C12" s="288">
        <f t="shared" si="0"/>
        <v>192</v>
      </c>
      <c r="D12" s="237">
        <v>10</v>
      </c>
      <c r="E12" s="236"/>
      <c r="F12" s="236"/>
      <c r="G12" s="236"/>
      <c r="H12" s="236"/>
      <c r="I12" s="236">
        <v>15</v>
      </c>
      <c r="J12" s="236"/>
      <c r="K12" s="236"/>
      <c r="L12" s="236"/>
      <c r="M12" s="236">
        <f>+IF(F12&gt;0,$D$1/I12,0)</f>
        <v>0</v>
      </c>
      <c r="N12" s="236"/>
      <c r="O12" s="236"/>
      <c r="P12" s="236"/>
      <c r="Q12" s="237"/>
      <c r="R12" s="3">
        <f t="shared" si="1"/>
        <v>10</v>
      </c>
      <c r="S12" s="3">
        <f t="shared" si="2"/>
        <v>10</v>
      </c>
      <c r="T12" s="3">
        <f t="shared" si="7"/>
        <v>20</v>
      </c>
      <c r="U12" s="3">
        <f t="shared" si="3"/>
        <v>39000</v>
      </c>
      <c r="V12" s="237">
        <v>1</v>
      </c>
      <c r="W12" s="237">
        <v>1</v>
      </c>
      <c r="X12" s="3">
        <f t="shared" si="4"/>
        <v>64500</v>
      </c>
      <c r="Y12" s="237"/>
      <c r="Z12" s="237"/>
      <c r="AA12" s="3">
        <f t="shared" si="5"/>
        <v>0</v>
      </c>
      <c r="AB12" s="3">
        <f t="shared" si="6"/>
        <v>53.07692307692308</v>
      </c>
      <c r="AC12" s="3"/>
      <c r="AE12" s="246">
        <v>0</v>
      </c>
      <c r="AF12" s="56">
        <f t="shared" ref="AF12:AF17" si="8">IF(AG12&gt;0,(T12-D12*2)*(L12+O12)/(K12+N12),0)</f>
        <v>0</v>
      </c>
      <c r="AG12" s="218">
        <f t="shared" ref="AG12:AG17" si="9">SUM(O12,L12)</f>
        <v>0</v>
      </c>
      <c r="AH12" s="1"/>
      <c r="AI12" s="1"/>
      <c r="AJ12" s="1"/>
      <c r="AK12" s="68"/>
    </row>
    <row r="13" spans="1:47" x14ac:dyDescent="0.25">
      <c r="A13" s="1" t="s">
        <v>365</v>
      </c>
      <c r="B13" s="276">
        <v>5</v>
      </c>
      <c r="C13" s="288">
        <f t="shared" si="0"/>
        <v>240</v>
      </c>
      <c r="D13" s="237"/>
      <c r="E13" s="236">
        <v>10</v>
      </c>
      <c r="F13" s="236"/>
      <c r="G13" s="236"/>
      <c r="H13" s="236">
        <v>25</v>
      </c>
      <c r="I13" s="236">
        <v>15</v>
      </c>
      <c r="J13" s="236"/>
      <c r="K13" s="236">
        <v>10</v>
      </c>
      <c r="L13" s="236">
        <v>7</v>
      </c>
      <c r="M13" s="236">
        <f>+IF(F13&gt;0,$D$1/I13,0)</f>
        <v>0</v>
      </c>
      <c r="N13" s="236">
        <v>10</v>
      </c>
      <c r="O13" s="236">
        <v>7</v>
      </c>
      <c r="P13" s="236"/>
      <c r="Q13" s="237"/>
      <c r="R13" s="3">
        <f t="shared" si="1"/>
        <v>100</v>
      </c>
      <c r="S13" s="3">
        <f t="shared" si="2"/>
        <v>100</v>
      </c>
      <c r="T13" s="3">
        <f t="shared" si="7"/>
        <v>200</v>
      </c>
      <c r="U13" s="3">
        <f t="shared" si="3"/>
        <v>390000</v>
      </c>
      <c r="V13" s="237"/>
      <c r="W13" s="237"/>
      <c r="X13" s="3">
        <f t="shared" si="4"/>
        <v>0</v>
      </c>
      <c r="Y13" s="237">
        <v>1</v>
      </c>
      <c r="Z13" s="237">
        <v>1</v>
      </c>
      <c r="AA13" s="3">
        <f t="shared" si="5"/>
        <v>64500</v>
      </c>
      <c r="AB13" s="3">
        <f t="shared" si="6"/>
        <v>233.07692307692309</v>
      </c>
      <c r="AC13" s="3"/>
      <c r="AE13" s="246">
        <v>0</v>
      </c>
      <c r="AF13" s="56">
        <f t="shared" si="8"/>
        <v>140</v>
      </c>
      <c r="AG13" s="218">
        <f t="shared" si="9"/>
        <v>14</v>
      </c>
      <c r="AH13" s="1"/>
      <c r="AI13" s="1"/>
      <c r="AJ13" s="1"/>
      <c r="AK13" s="68"/>
    </row>
    <row r="14" spans="1:47" x14ac:dyDescent="0.25">
      <c r="A14" s="1" t="s">
        <v>25</v>
      </c>
      <c r="B14" s="276"/>
      <c r="C14" s="276"/>
      <c r="D14" s="237"/>
      <c r="E14" s="236"/>
      <c r="F14" s="236"/>
      <c r="G14" s="236">
        <v>20</v>
      </c>
      <c r="H14" s="236"/>
      <c r="I14" s="236"/>
      <c r="J14" s="236">
        <v>22</v>
      </c>
      <c r="K14" s="236"/>
      <c r="L14" s="236">
        <v>7</v>
      </c>
      <c r="M14" s="236"/>
      <c r="N14" s="236"/>
      <c r="O14" s="236">
        <v>7</v>
      </c>
      <c r="P14" s="236">
        <v>10</v>
      </c>
      <c r="Q14" s="237">
        <v>10</v>
      </c>
      <c r="R14" s="3">
        <f t="shared" si="1"/>
        <v>200</v>
      </c>
      <c r="S14" s="3">
        <f t="shared" si="2"/>
        <v>200</v>
      </c>
      <c r="T14" s="3">
        <f t="shared" si="7"/>
        <v>400</v>
      </c>
      <c r="U14" s="3">
        <f t="shared" si="3"/>
        <v>780000</v>
      </c>
      <c r="V14" s="237"/>
      <c r="W14" s="237"/>
      <c r="X14" s="3">
        <f t="shared" si="4"/>
        <v>0</v>
      </c>
      <c r="Y14" s="237"/>
      <c r="Z14" s="237"/>
      <c r="AA14" s="3">
        <f t="shared" si="5"/>
        <v>0</v>
      </c>
      <c r="AB14" s="3">
        <f t="shared" si="6"/>
        <v>400</v>
      </c>
      <c r="AC14" s="3"/>
      <c r="AE14" s="246">
        <v>0</v>
      </c>
      <c r="AF14" s="56"/>
      <c r="AG14" s="218"/>
      <c r="AH14" s="1"/>
      <c r="AI14" s="1"/>
      <c r="AJ14" s="1">
        <f>((G14*P14)+(G14*Q14))*AK14/(P14+Q14)</f>
        <v>280</v>
      </c>
      <c r="AK14" s="246">
        <v>14</v>
      </c>
    </row>
    <row r="15" spans="1:47" x14ac:dyDescent="0.25">
      <c r="A15" s="1" t="s">
        <v>323</v>
      </c>
      <c r="B15" s="276"/>
      <c r="C15" s="276"/>
      <c r="D15" s="237"/>
      <c r="E15" s="236">
        <v>10</v>
      </c>
      <c r="F15" s="236"/>
      <c r="G15" s="236"/>
      <c r="H15" s="236">
        <v>10</v>
      </c>
      <c r="I15" s="236"/>
      <c r="J15" s="236"/>
      <c r="K15" s="236">
        <v>1</v>
      </c>
      <c r="L15" s="236">
        <v>1</v>
      </c>
      <c r="M15" s="236"/>
      <c r="N15" s="236">
        <v>1</v>
      </c>
      <c r="O15" s="236">
        <v>1</v>
      </c>
      <c r="P15" s="236"/>
      <c r="Q15" s="237"/>
      <c r="R15" s="3">
        <f t="shared" si="1"/>
        <v>10</v>
      </c>
      <c r="S15" s="3">
        <f t="shared" si="2"/>
        <v>10</v>
      </c>
      <c r="T15" s="3">
        <f t="shared" ref="T15:T17" si="10">R15+S15</f>
        <v>20</v>
      </c>
      <c r="U15" s="3">
        <f t="shared" ref="U15:U17" si="11">T15*$H$1</f>
        <v>39000</v>
      </c>
      <c r="V15" s="237"/>
      <c r="W15" s="237"/>
      <c r="X15" s="3">
        <f t="shared" si="4"/>
        <v>0</v>
      </c>
      <c r="Y15" s="237">
        <v>1</v>
      </c>
      <c r="Z15" s="237">
        <v>1</v>
      </c>
      <c r="AA15" s="3">
        <f t="shared" si="5"/>
        <v>64500</v>
      </c>
      <c r="AB15" s="3">
        <f t="shared" si="6"/>
        <v>53.07692307692308</v>
      </c>
      <c r="AC15" s="3"/>
      <c r="AE15" s="246">
        <f>D13*$AE$4*2</f>
        <v>0</v>
      </c>
      <c r="AF15" s="56">
        <f t="shared" si="8"/>
        <v>20</v>
      </c>
      <c r="AG15" s="218">
        <f t="shared" si="9"/>
        <v>2</v>
      </c>
      <c r="AH15" s="1"/>
      <c r="AI15" s="1"/>
      <c r="AJ15" s="1"/>
      <c r="AK15" s="68"/>
    </row>
    <row r="16" spans="1:47" x14ac:dyDescent="0.25">
      <c r="A16" s="1" t="s">
        <v>366</v>
      </c>
      <c r="B16" s="276"/>
      <c r="C16" s="276"/>
      <c r="D16" s="237"/>
      <c r="E16" s="236">
        <v>10</v>
      </c>
      <c r="F16" s="236"/>
      <c r="G16" s="236"/>
      <c r="H16" s="236">
        <v>25</v>
      </c>
      <c r="I16" s="236"/>
      <c r="J16" s="236"/>
      <c r="K16" s="236">
        <v>10</v>
      </c>
      <c r="L16" s="236">
        <v>10</v>
      </c>
      <c r="M16" s="236"/>
      <c r="N16" s="236">
        <v>10</v>
      </c>
      <c r="O16" s="236">
        <v>10</v>
      </c>
      <c r="P16" s="236"/>
      <c r="Q16" s="237"/>
      <c r="R16" s="3">
        <f t="shared" si="1"/>
        <v>100</v>
      </c>
      <c r="S16" s="3">
        <f t="shared" si="2"/>
        <v>100</v>
      </c>
      <c r="T16" s="3">
        <f t="shared" si="10"/>
        <v>200</v>
      </c>
      <c r="U16" s="3">
        <f t="shared" si="11"/>
        <v>390000</v>
      </c>
      <c r="V16" s="237"/>
      <c r="W16" s="237"/>
      <c r="X16" s="3">
        <f t="shared" si="4"/>
        <v>0</v>
      </c>
      <c r="Y16" s="237"/>
      <c r="Z16" s="237"/>
      <c r="AA16" s="3"/>
      <c r="AB16" s="3">
        <f t="shared" si="6"/>
        <v>200</v>
      </c>
      <c r="AC16" s="3"/>
      <c r="AE16" s="246">
        <f>D14*$AE$4*2</f>
        <v>0</v>
      </c>
      <c r="AF16" s="56">
        <f t="shared" si="8"/>
        <v>200</v>
      </c>
      <c r="AG16" s="218">
        <f t="shared" si="9"/>
        <v>20</v>
      </c>
      <c r="AH16" s="1"/>
      <c r="AI16" s="1"/>
      <c r="AJ16" s="1"/>
      <c r="AK16" s="68"/>
    </row>
    <row r="17" spans="1:47" x14ac:dyDescent="0.25">
      <c r="A17" s="1" t="s">
        <v>286</v>
      </c>
      <c r="B17" s="276"/>
      <c r="C17" s="276"/>
      <c r="D17" s="237"/>
      <c r="E17" s="236">
        <v>2</v>
      </c>
      <c r="F17" s="236"/>
      <c r="G17" s="236"/>
      <c r="H17" s="236">
        <v>10</v>
      </c>
      <c r="I17" s="236"/>
      <c r="J17" s="236"/>
      <c r="K17" s="236">
        <v>1</v>
      </c>
      <c r="L17" s="236">
        <v>1</v>
      </c>
      <c r="M17" s="236"/>
      <c r="N17" s="236">
        <v>1</v>
      </c>
      <c r="O17" s="236">
        <v>1</v>
      </c>
      <c r="P17" s="236"/>
      <c r="Q17" s="237"/>
      <c r="R17" s="3">
        <f t="shared" si="1"/>
        <v>2</v>
      </c>
      <c r="S17" s="3">
        <f t="shared" si="2"/>
        <v>2</v>
      </c>
      <c r="T17" s="3">
        <f t="shared" si="10"/>
        <v>4</v>
      </c>
      <c r="U17" s="3">
        <f t="shared" si="11"/>
        <v>7800</v>
      </c>
      <c r="V17" s="237"/>
      <c r="W17" s="237"/>
      <c r="X17" s="3">
        <f t="shared" si="4"/>
        <v>0</v>
      </c>
      <c r="Y17" s="237"/>
      <c r="Z17" s="237"/>
      <c r="AA17" s="3"/>
      <c r="AB17" s="3">
        <f t="shared" si="6"/>
        <v>4</v>
      </c>
      <c r="AC17" s="3"/>
      <c r="AE17" s="246">
        <v>0</v>
      </c>
      <c r="AF17" s="56">
        <f t="shared" si="8"/>
        <v>4</v>
      </c>
      <c r="AG17" s="218">
        <f t="shared" si="9"/>
        <v>2</v>
      </c>
      <c r="AH17" s="1"/>
      <c r="AI17" s="1"/>
      <c r="AJ17" s="1"/>
      <c r="AK17" s="68"/>
    </row>
    <row r="18" spans="1:47" x14ac:dyDescent="0.25">
      <c r="A18" s="1"/>
      <c r="B18" s="276"/>
      <c r="C18" s="276"/>
      <c r="D18" s="237"/>
      <c r="E18" s="236"/>
      <c r="F18" s="236"/>
      <c r="G18" s="236"/>
      <c r="H18" s="236"/>
      <c r="I18" s="236"/>
      <c r="J18" s="236"/>
      <c r="K18" s="251"/>
      <c r="L18" s="251"/>
      <c r="M18" s="251"/>
      <c r="N18" s="251"/>
      <c r="O18" s="251"/>
      <c r="P18" s="251"/>
      <c r="Q18" s="246"/>
      <c r="R18" s="3"/>
      <c r="S18" s="3"/>
      <c r="T18" s="3"/>
      <c r="U18" s="3"/>
      <c r="V18" s="237"/>
      <c r="W18" s="237"/>
      <c r="X18" s="3"/>
      <c r="Y18" s="237"/>
      <c r="Z18" s="237"/>
      <c r="AA18" s="3"/>
      <c r="AB18" s="3"/>
      <c r="AC18" s="3"/>
      <c r="AE18" s="246"/>
      <c r="AF18" s="56"/>
      <c r="AG18" s="218"/>
      <c r="AH18" s="1"/>
      <c r="AI18" s="1"/>
      <c r="AJ18" s="1"/>
      <c r="AK18" s="68"/>
    </row>
    <row r="19" spans="1:47" x14ac:dyDescent="0.25">
      <c r="A19" s="2" t="s">
        <v>48</v>
      </c>
      <c r="B19" s="288"/>
      <c r="C19" s="288"/>
      <c r="D19" s="237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3">
        <f t="shared" ref="R19:R25" si="12">D19+(E19*K19)+(G19*P19)</f>
        <v>0</v>
      </c>
      <c r="S19" s="3">
        <f t="shared" ref="S19:S25" si="13">D19+(E19*N19)+(G19*Q19)</f>
        <v>0</v>
      </c>
      <c r="T19" s="3">
        <f t="shared" si="7"/>
        <v>0</v>
      </c>
      <c r="U19" s="3"/>
      <c r="V19" s="237"/>
      <c r="W19" s="237"/>
      <c r="X19" s="3">
        <f t="shared" si="4"/>
        <v>0</v>
      </c>
      <c r="Y19" s="237"/>
      <c r="Z19" s="237"/>
      <c r="AA19" s="3">
        <f t="shared" si="5"/>
        <v>0</v>
      </c>
      <c r="AB19" s="3">
        <f t="shared" si="6"/>
        <v>0</v>
      </c>
      <c r="AC19" s="3"/>
      <c r="AE19" s="246"/>
      <c r="AF19" s="56"/>
      <c r="AG19" s="218"/>
      <c r="AH19" s="1"/>
      <c r="AI19" s="1"/>
      <c r="AJ19" s="1"/>
      <c r="AK19" s="68"/>
    </row>
    <row r="20" spans="1:47" x14ac:dyDescent="0.25">
      <c r="A20" s="2" t="s">
        <v>358</v>
      </c>
      <c r="B20" s="288">
        <v>12</v>
      </c>
      <c r="C20" s="288">
        <f>$B$3*B20*2</f>
        <v>576</v>
      </c>
      <c r="D20" s="237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3">
        <f t="shared" si="12"/>
        <v>0</v>
      </c>
      <c r="S20" s="3">
        <f t="shared" si="13"/>
        <v>0</v>
      </c>
      <c r="T20" s="3">
        <f t="shared" si="7"/>
        <v>0</v>
      </c>
      <c r="U20" s="3"/>
      <c r="V20" s="237"/>
      <c r="W20" s="237"/>
      <c r="X20" s="3">
        <f t="shared" si="4"/>
        <v>0</v>
      </c>
      <c r="Y20" s="237"/>
      <c r="Z20" s="237"/>
      <c r="AA20" s="3">
        <f t="shared" si="5"/>
        <v>0</v>
      </c>
      <c r="AB20" s="3">
        <f t="shared" si="6"/>
        <v>0</v>
      </c>
      <c r="AC20" s="3"/>
      <c r="AE20" s="246"/>
      <c r="AF20" s="56"/>
      <c r="AG20" s="218"/>
      <c r="AH20" s="1"/>
      <c r="AI20" s="1"/>
      <c r="AJ20" s="1"/>
      <c r="AK20" s="68"/>
    </row>
    <row r="21" spans="1:47" x14ac:dyDescent="0.25">
      <c r="A21" s="1" t="s">
        <v>30</v>
      </c>
      <c r="B21" s="276">
        <v>6</v>
      </c>
      <c r="C21" s="288">
        <f>$B$3*B21*2</f>
        <v>288</v>
      </c>
      <c r="D21" s="237">
        <v>24</v>
      </c>
      <c r="E21" s="236">
        <v>20</v>
      </c>
      <c r="F21" s="236"/>
      <c r="G21" s="236"/>
      <c r="H21" s="236">
        <v>37</v>
      </c>
      <c r="I21" s="236">
        <v>15</v>
      </c>
      <c r="J21" s="236"/>
      <c r="K21" s="236">
        <v>6</v>
      </c>
      <c r="L21" s="236">
        <v>4</v>
      </c>
      <c r="M21" s="236">
        <f>+IF(F21&gt;0,$D$1/I21,0)</f>
        <v>0</v>
      </c>
      <c r="N21" s="236">
        <v>6</v>
      </c>
      <c r="O21" s="236">
        <v>4</v>
      </c>
      <c r="P21" s="236"/>
      <c r="Q21" s="237"/>
      <c r="R21" s="3">
        <f t="shared" si="12"/>
        <v>144</v>
      </c>
      <c r="S21" s="3">
        <f t="shared" si="13"/>
        <v>144</v>
      </c>
      <c r="T21" s="3">
        <f t="shared" si="7"/>
        <v>288</v>
      </c>
      <c r="U21" s="3">
        <f>T21*$H$1</f>
        <v>561600</v>
      </c>
      <c r="V21" s="237">
        <v>1</v>
      </c>
      <c r="W21" s="237">
        <v>1</v>
      </c>
      <c r="X21" s="3">
        <f t="shared" si="4"/>
        <v>64500</v>
      </c>
      <c r="Y21" s="237">
        <v>1</v>
      </c>
      <c r="Z21" s="237">
        <v>1</v>
      </c>
      <c r="AA21" s="3">
        <f t="shared" si="5"/>
        <v>64500</v>
      </c>
      <c r="AB21" s="3">
        <f t="shared" si="6"/>
        <v>354.15384615384619</v>
      </c>
      <c r="AC21" s="3"/>
      <c r="AE21" s="246">
        <f>D19*$AE$4*2</f>
        <v>0</v>
      </c>
      <c r="AF21" s="56">
        <f t="shared" ref="AF21:AF23" si="14">IF(AG21&gt;0,(T21-D21*2)*(L21+O21)/(K21+N21),0)</f>
        <v>160</v>
      </c>
      <c r="AG21" s="218">
        <f t="shared" ref="AG21:AG23" si="15">SUM(O21,L21)</f>
        <v>8</v>
      </c>
      <c r="AH21" s="1"/>
      <c r="AI21" s="1"/>
      <c r="AJ21" s="1"/>
      <c r="AK21" s="68"/>
    </row>
    <row r="22" spans="1:47" x14ac:dyDescent="0.25">
      <c r="A22" s="1" t="s">
        <v>32</v>
      </c>
      <c r="B22" s="276">
        <v>6</v>
      </c>
      <c r="C22" s="288">
        <f>$B$3*B22*2</f>
        <v>288</v>
      </c>
      <c r="D22" s="237">
        <v>16</v>
      </c>
      <c r="E22" s="236">
        <v>16</v>
      </c>
      <c r="F22" s="236"/>
      <c r="G22" s="236"/>
      <c r="H22" s="236">
        <v>37</v>
      </c>
      <c r="I22" s="236">
        <v>15</v>
      </c>
      <c r="J22" s="236"/>
      <c r="K22" s="236">
        <v>7</v>
      </c>
      <c r="L22" s="236">
        <v>5</v>
      </c>
      <c r="M22" s="236">
        <f>+IF(F22&gt;0,$D$1/I22,0)</f>
        <v>0</v>
      </c>
      <c r="N22" s="236">
        <v>6</v>
      </c>
      <c r="O22" s="236">
        <v>4</v>
      </c>
      <c r="P22" s="236"/>
      <c r="Q22" s="237"/>
      <c r="R22" s="3">
        <f t="shared" si="12"/>
        <v>128</v>
      </c>
      <c r="S22" s="3">
        <f t="shared" si="13"/>
        <v>112</v>
      </c>
      <c r="T22" s="3">
        <f t="shared" si="7"/>
        <v>240</v>
      </c>
      <c r="U22" s="3">
        <f>T22*$H$1</f>
        <v>468000</v>
      </c>
      <c r="V22" s="237">
        <v>1</v>
      </c>
      <c r="W22" s="237">
        <v>1</v>
      </c>
      <c r="X22" s="3">
        <f t="shared" si="4"/>
        <v>64500</v>
      </c>
      <c r="Y22" s="237">
        <v>1</v>
      </c>
      <c r="Z22" s="237">
        <v>1</v>
      </c>
      <c r="AA22" s="3">
        <f t="shared" si="5"/>
        <v>64500</v>
      </c>
      <c r="AB22" s="3">
        <f t="shared" si="6"/>
        <v>306.15384615384619</v>
      </c>
      <c r="AC22" s="3"/>
      <c r="AE22" s="246">
        <v>4</v>
      </c>
      <c r="AF22" s="56">
        <f t="shared" si="14"/>
        <v>144</v>
      </c>
      <c r="AG22" s="218">
        <f t="shared" si="15"/>
        <v>9</v>
      </c>
      <c r="AH22" s="1"/>
      <c r="AI22" s="1"/>
      <c r="AJ22" s="1"/>
      <c r="AK22" s="68"/>
    </row>
    <row r="23" spans="1:47" x14ac:dyDescent="0.25">
      <c r="A23" s="1" t="s">
        <v>33</v>
      </c>
      <c r="B23" s="288">
        <v>8</v>
      </c>
      <c r="C23" s="288">
        <f>$B$3*B23*2</f>
        <v>384</v>
      </c>
      <c r="D23" s="237">
        <v>16</v>
      </c>
      <c r="E23" s="236">
        <v>8</v>
      </c>
      <c r="F23" s="236"/>
      <c r="G23" s="236"/>
      <c r="H23" s="236">
        <v>37</v>
      </c>
      <c r="I23" s="236">
        <v>15</v>
      </c>
      <c r="J23" s="236"/>
      <c r="K23" s="236">
        <v>6</v>
      </c>
      <c r="L23" s="236">
        <v>1</v>
      </c>
      <c r="M23" s="236">
        <f>+IF(F23&gt;0,$D$1/I23,0)</f>
        <v>0</v>
      </c>
      <c r="N23" s="236">
        <v>6</v>
      </c>
      <c r="O23" s="236">
        <v>1</v>
      </c>
      <c r="P23" s="236"/>
      <c r="Q23" s="237"/>
      <c r="R23" s="3">
        <f t="shared" si="12"/>
        <v>64</v>
      </c>
      <c r="S23" s="3">
        <f t="shared" si="13"/>
        <v>64</v>
      </c>
      <c r="T23" s="3">
        <f t="shared" si="7"/>
        <v>128</v>
      </c>
      <c r="U23" s="3">
        <f>T23*$H$1</f>
        <v>249600</v>
      </c>
      <c r="V23" s="237"/>
      <c r="W23" s="237"/>
      <c r="X23" s="3">
        <f t="shared" si="4"/>
        <v>0</v>
      </c>
      <c r="Y23" s="237"/>
      <c r="Z23" s="237"/>
      <c r="AA23" s="3">
        <f t="shared" si="5"/>
        <v>0</v>
      </c>
      <c r="AB23" s="3">
        <f t="shared" si="6"/>
        <v>128</v>
      </c>
      <c r="AC23" s="3"/>
      <c r="AE23" s="246">
        <v>0</v>
      </c>
      <c r="AF23" s="56">
        <f t="shared" si="14"/>
        <v>16</v>
      </c>
      <c r="AG23" s="218">
        <f t="shared" si="15"/>
        <v>2</v>
      </c>
      <c r="AH23" s="1"/>
      <c r="AI23" s="1"/>
      <c r="AJ23" s="1"/>
      <c r="AK23" s="68"/>
    </row>
    <row r="24" spans="1:47" x14ac:dyDescent="0.25">
      <c r="A24" s="1"/>
      <c r="B24" s="276"/>
      <c r="C24" s="276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3">
        <f t="shared" si="12"/>
        <v>0</v>
      </c>
      <c r="S24" s="3">
        <f t="shared" si="13"/>
        <v>0</v>
      </c>
      <c r="T24" s="3">
        <f t="shared" si="7"/>
        <v>0</v>
      </c>
      <c r="U24" s="3"/>
      <c r="V24" s="237"/>
      <c r="W24" s="237"/>
      <c r="X24" s="3">
        <f t="shared" si="4"/>
        <v>0</v>
      </c>
      <c r="Y24" s="237"/>
      <c r="Z24" s="237"/>
      <c r="AA24" s="3">
        <f t="shared" si="5"/>
        <v>0</v>
      </c>
      <c r="AB24" s="3">
        <f t="shared" si="6"/>
        <v>0</v>
      </c>
      <c r="AC24" s="3"/>
      <c r="AE24" s="246"/>
      <c r="AF24" s="56"/>
      <c r="AG24" s="218"/>
      <c r="AH24" s="1"/>
      <c r="AI24" s="1"/>
      <c r="AJ24" s="1"/>
      <c r="AK24" s="68"/>
    </row>
    <row r="25" spans="1:47" x14ac:dyDescent="0.25">
      <c r="A25" s="1" t="s">
        <v>42</v>
      </c>
      <c r="B25" s="276"/>
      <c r="C25" s="276"/>
      <c r="D25" s="237">
        <v>10</v>
      </c>
      <c r="E25" s="237"/>
      <c r="F25" s="237"/>
      <c r="G25" s="237"/>
      <c r="H25" s="237"/>
      <c r="I25" s="237">
        <v>15</v>
      </c>
      <c r="J25" s="237"/>
      <c r="K25" s="237"/>
      <c r="L25" s="237"/>
      <c r="M25" s="237">
        <f>+IF(F25&gt;0,$D$1/I25,0)</f>
        <v>0</v>
      </c>
      <c r="N25" s="237"/>
      <c r="O25" s="237"/>
      <c r="P25" s="237"/>
      <c r="Q25" s="237"/>
      <c r="R25" s="3">
        <f t="shared" si="12"/>
        <v>10</v>
      </c>
      <c r="S25" s="3">
        <f t="shared" si="13"/>
        <v>10</v>
      </c>
      <c r="T25" s="3">
        <f t="shared" si="7"/>
        <v>20</v>
      </c>
      <c r="U25" s="3">
        <f>T25*$H$1</f>
        <v>39000</v>
      </c>
      <c r="V25" s="237"/>
      <c r="W25" s="237"/>
      <c r="X25" s="3">
        <f t="shared" si="4"/>
        <v>0</v>
      </c>
      <c r="Y25" s="237"/>
      <c r="Z25" s="237"/>
      <c r="AA25" s="3">
        <f t="shared" si="5"/>
        <v>0</v>
      </c>
      <c r="AB25" s="3">
        <f t="shared" si="6"/>
        <v>20</v>
      </c>
      <c r="AC25" s="3"/>
      <c r="AE25" s="246">
        <v>12</v>
      </c>
      <c r="AF25" s="56">
        <f>IF(AG25&gt;0,(T25-D25*2)*(L25+O25)/(K25+N25),0)</f>
        <v>0</v>
      </c>
      <c r="AG25" s="218">
        <f t="shared" ref="AG25" si="16">SUM(O25,L25)</f>
        <v>0</v>
      </c>
      <c r="AH25" s="1"/>
      <c r="AI25" s="1"/>
      <c r="AJ25" s="1"/>
      <c r="AK25" s="68"/>
    </row>
    <row r="26" spans="1:47" x14ac:dyDescent="0.25">
      <c r="A26" s="1"/>
      <c r="B26" s="276"/>
      <c r="C26" s="276"/>
      <c r="D26" s="8"/>
      <c r="E26" s="8"/>
      <c r="F26" s="8"/>
      <c r="G26" s="8"/>
      <c r="H26" s="8"/>
      <c r="I26" s="8"/>
      <c r="J26" s="8"/>
      <c r="K26" s="94"/>
      <c r="L26" s="94"/>
      <c r="M26" s="94"/>
      <c r="N26" s="94"/>
      <c r="O26" s="94"/>
      <c r="P26" s="94"/>
      <c r="Q26" s="94"/>
      <c r="R26" s="1"/>
      <c r="S26" s="1"/>
      <c r="T26" s="1"/>
      <c r="U26" s="3"/>
      <c r="V26" s="8"/>
      <c r="W26" s="8"/>
      <c r="X26" s="3"/>
      <c r="Y26" s="8"/>
      <c r="Z26" s="8"/>
      <c r="AA26" s="3"/>
      <c r="AB26" s="3"/>
      <c r="AC26" s="3"/>
      <c r="AE26" s="266"/>
      <c r="AF26" s="56"/>
      <c r="AG26" s="218"/>
      <c r="AH26" s="1"/>
      <c r="AI26" s="1"/>
      <c r="AJ26" s="1"/>
      <c r="AK26" s="68"/>
    </row>
    <row r="27" spans="1:47" ht="45" x14ac:dyDescent="0.25">
      <c r="A27" s="6" t="s">
        <v>9</v>
      </c>
      <c r="B27" s="288"/>
      <c r="C27" s="288">
        <f>SUM(C8,C20,C23)</f>
        <v>2400</v>
      </c>
      <c r="D27" s="9">
        <f>SUM(D7:D23)</f>
        <v>108</v>
      </c>
      <c r="E27" s="9">
        <f>SUM(E7:E23)</f>
        <v>100</v>
      </c>
      <c r="F27" s="9">
        <f>SUM(F7:F23)</f>
        <v>0</v>
      </c>
      <c r="G27" s="9">
        <f>SUM(G7:G23)</f>
        <v>20</v>
      </c>
      <c r="H27" s="8"/>
      <c r="I27" s="8"/>
      <c r="J27" s="8"/>
      <c r="K27" s="97"/>
      <c r="L27" s="97"/>
      <c r="M27" s="97"/>
      <c r="N27" s="97"/>
      <c r="O27" s="97"/>
      <c r="P27" s="97"/>
      <c r="Q27" s="97"/>
      <c r="R27" s="4">
        <f>SUM(R7:R25)</f>
        <v>978</v>
      </c>
      <c r="S27" s="4">
        <f>SUM(S7:S25)</f>
        <v>962</v>
      </c>
      <c r="T27" s="4">
        <f>SUM(T7:T25)</f>
        <v>1940</v>
      </c>
      <c r="U27" s="4">
        <f>SUM(U7:U23)</f>
        <v>3744000</v>
      </c>
      <c r="V27" s="9">
        <f t="shared" ref="V27:AA27" si="17">SUM(V9:V25)</f>
        <v>5</v>
      </c>
      <c r="W27" s="9">
        <f t="shared" si="17"/>
        <v>5</v>
      </c>
      <c r="X27" s="99">
        <f t="shared" si="17"/>
        <v>322500</v>
      </c>
      <c r="Y27" s="9">
        <f t="shared" si="17"/>
        <v>5</v>
      </c>
      <c r="Z27" s="9">
        <f t="shared" si="17"/>
        <v>5</v>
      </c>
      <c r="AA27" s="99">
        <f t="shared" si="17"/>
        <v>322500</v>
      </c>
      <c r="AB27" s="99">
        <f>SUM(AB9:AB25)</f>
        <v>2270.7692307692309</v>
      </c>
      <c r="AC27" s="4">
        <f>U27+X27+AA27</f>
        <v>4389000</v>
      </c>
      <c r="AD27" s="184" t="s">
        <v>363</v>
      </c>
      <c r="AE27" s="15">
        <f>SUM(AE9:AE25)</f>
        <v>16</v>
      </c>
      <c r="AF27" s="15">
        <f>SUM(AF9:AF25)</f>
        <v>720</v>
      </c>
      <c r="AG27" s="1"/>
      <c r="AH27" s="15">
        <f>SUM(AH9:AH25)</f>
        <v>0</v>
      </c>
      <c r="AI27" s="2">
        <f>AI28/5</f>
        <v>430</v>
      </c>
      <c r="AJ27" s="15">
        <f>SUM(AJ9:AJ25)</f>
        <v>280</v>
      </c>
      <c r="AK27" s="1"/>
    </row>
    <row r="28" spans="1:47" x14ac:dyDescent="0.25">
      <c r="A28" s="1"/>
      <c r="B28" s="276"/>
      <c r="C28" s="27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t="s">
        <v>362</v>
      </c>
      <c r="AE28" s="15">
        <f>SUM(AE9:AE25)*5</f>
        <v>80</v>
      </c>
      <c r="AF28" s="15">
        <f>SUM(AF9:AF25)*5</f>
        <v>3600</v>
      </c>
      <c r="AG28" s="2"/>
      <c r="AH28" s="2">
        <f>SUM(AH9:AH25)*5</f>
        <v>0</v>
      </c>
      <c r="AI28" s="2">
        <f>(X27+AA27)/H2</f>
        <v>2150</v>
      </c>
      <c r="AJ28" s="2">
        <f>AJ14*5</f>
        <v>1400</v>
      </c>
      <c r="AK28" s="2"/>
    </row>
    <row r="29" spans="1:47" s="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5"/>
      <c r="V29" s="5"/>
      <c r="W29" s="5"/>
      <c r="X29" s="5"/>
      <c r="Y29" s="5"/>
      <c r="Z29" s="5"/>
      <c r="AA29" s="5"/>
      <c r="AB29" s="5"/>
      <c r="AC29" s="5"/>
      <c r="AE29" s="1"/>
      <c r="AF29" s="1"/>
      <c r="AG29" s="1"/>
      <c r="AH29" s="1"/>
      <c r="AI29" s="1"/>
      <c r="AJ29" s="1"/>
      <c r="AK29" s="1"/>
      <c r="AM29"/>
      <c r="AN29"/>
      <c r="AO29"/>
      <c r="AP29"/>
      <c r="AQ29"/>
      <c r="AR29"/>
      <c r="AS29"/>
      <c r="AT29"/>
      <c r="AU29"/>
    </row>
    <row r="32" spans="1:47" x14ac:dyDescent="0.25">
      <c r="A32" s="184"/>
    </row>
    <row r="33" spans="2:9" ht="15.75" thickBot="1" x14ac:dyDescent="0.3"/>
    <row r="34" spans="2:9" ht="16.5" thickBot="1" x14ac:dyDescent="0.3">
      <c r="B34" s="328"/>
      <c r="C34" s="328"/>
      <c r="D34" s="186" t="s">
        <v>105</v>
      </c>
      <c r="E34" s="187"/>
      <c r="F34" s="187"/>
      <c r="G34" s="187"/>
      <c r="H34" s="187"/>
      <c r="I34" s="187"/>
    </row>
    <row r="36" spans="2:9" ht="16.5" customHeight="1" x14ac:dyDescent="0.25"/>
  </sheetData>
  <sheetProtection selectLockedCells="1"/>
  <customSheetViews>
    <customSheetView guid="{749D43A3-052D-442F-AE88-F6CCB83A1282}" scale="90" fitToPage="1" hiddenColumns="1" topLeftCell="A4">
      <pane xSplit="1" topLeftCell="R1" activePane="topRight" state="frozen"/>
      <selection pane="topRight" activeCell="O14" sqref="O14"/>
      <pageMargins left="7.874015748031496E-2" right="7.874015748031496E-2" top="0.78740157480314965" bottom="0.78740157480314965" header="0.31496062992125984" footer="0.31496062992125984"/>
      <pageSetup paperSize="9" scale="28" orientation="landscape" r:id="rId1"/>
      <headerFooter>
        <oddHeader>&amp;C&amp;"-,Fet"&amp;14 3. studieår</oddHeader>
      </headerFooter>
    </customSheetView>
    <customSheetView guid="{E5349645-7714-4437-B9BC-26ED822E5BC5}" fitToPage="1" hiddenColumns="1">
      <pane xSplit="1" topLeftCell="D1" activePane="topRight" state="frozen"/>
      <selection pane="topRight" activeCell="D9" sqref="D9"/>
      <pageMargins left="7.874015748031496E-2" right="7.874015748031496E-2" top="0.78740157480314965" bottom="0.78740157480314965" header="0.31496062992125984" footer="0.31496062992125984"/>
      <pageSetup paperSize="9" scale="28" orientation="landscape" r:id="rId2"/>
      <headerFooter>
        <oddHeader>&amp;C&amp;"-,Fet"&amp;14 3. studieår</oddHeader>
      </headerFooter>
    </customSheetView>
    <customSheetView guid="{F38A39FA-EF57-4062-A2AD-F3BEB88C5762}" fitToPage="1" hiddenColumns="1">
      <selection activeCell="E20" sqref="E20"/>
      <pageMargins left="7.874015748031496E-2" right="7.874015748031496E-2" top="0.78740157480314965" bottom="0.78740157480314965" header="0.31496062992125984" footer="0.31496062992125984"/>
      <pageSetup paperSize="9" scale="84" orientation="landscape" r:id="rId3"/>
      <headerFooter>
        <oddHeader>&amp;C&amp;"-,Fet"&amp;14 3. studieår</oddHeader>
      </headerFooter>
    </customSheetView>
    <customSheetView guid="{83C69039-3E29-46E1-85FB-B9165E0BFA91}" fitToPage="1" hiddenColumns="1" topLeftCell="L4">
      <selection activeCell="L15" sqref="A15:XFD15"/>
      <pageMargins left="7.874015748031496E-2" right="7.874015748031496E-2" top="0.78740157480314965" bottom="0.78740157480314965" header="0.31496062992125984" footer="0.31496062992125984"/>
      <pageSetup paperSize="9" scale="46" orientation="landscape" r:id="rId4"/>
      <headerFooter>
        <oddHeader>&amp;C&amp;"-,Fet"&amp;14 3. studieår</oddHeader>
      </headerFooter>
    </customSheetView>
    <customSheetView guid="{C1FECEF4-D739-4F39-9B89-CF4C04A77A9B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5"/>
      <headerFooter>
        <oddHeader>&amp;C&amp;"-,Fet"&amp;14 3. studieår</oddHeader>
      </headerFooter>
    </customSheetView>
    <customSheetView guid="{1241DC17-BD41-46C5-9DB1-684763A09F24}" fitToPage="1" hiddenColumns="1" topLeftCell="A4">
      <selection activeCell="O37" sqref="O37"/>
      <pageMargins left="7.874015748031496E-2" right="7.874015748031496E-2" top="0.78740157480314965" bottom="0.78740157480314965" header="0.31496062992125984" footer="0.31496062992125984"/>
      <pageSetup paperSize="9" scale="46" orientation="landscape" r:id="rId6"/>
      <headerFooter>
        <oddHeader>&amp;C&amp;"-,Fet"&amp;14 3. studieår</oddHeader>
      </headerFooter>
    </customSheetView>
    <customSheetView guid="{91227156-ECBD-48FD-8964-78F3608400FC}" fitToPage="1" hiddenRows="1" hiddenColumns="1">
      <selection activeCell="G18" sqref="G18"/>
      <pageMargins left="7.874015748031496E-2" right="7.874015748031496E-2" top="0.78740157480314965" bottom="0.78740157480314965" header="0.31496062992125984" footer="0.31496062992125984"/>
      <pageSetup paperSize="9" scale="84" orientation="landscape" r:id="rId7"/>
      <headerFooter>
        <oddHeader>&amp;C&amp;"-,Fet"&amp;14 3. studieår</oddHeader>
      </headerFooter>
    </customSheetView>
    <customSheetView guid="{B76C0EA9-E79B-4DA2-9ADE-66DB47109F8F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8"/>
      <headerFooter>
        <oddHeader>&amp;C&amp;"-,Fet"&amp;14 3. studieår</oddHeader>
      </headerFooter>
    </customSheetView>
    <customSheetView guid="{726FF687-50E0-4F8A-BCCB-6DA9E6D367D4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9"/>
      <headerFooter>
        <oddHeader>&amp;C&amp;"-,Fet"&amp;14 3. studieår</oddHeader>
      </headerFooter>
    </customSheetView>
    <customSheetView guid="{BB9ED292-532F-438C-A4A6-F8D66D70E0E7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0"/>
      <headerFooter>
        <oddHeader>&amp;C&amp;"-,Fet"&amp;14 3. studieår</oddHeader>
      </headerFooter>
    </customSheetView>
    <customSheetView guid="{7AE955BB-7BF8-4CA4-ABF1-6A0BB53A48AD}" fitToPage="1" hiddenRows="1" hiddenColumns="1" topLeftCell="A3">
      <pane xSplit="1" topLeftCell="B1" activePane="topRight" state="frozen"/>
      <selection pane="topRight" activeCell="A3" sqref="A1:A1048576"/>
      <pageMargins left="7.874015748031496E-2" right="7.874015748031496E-2" top="0.78740157480314965" bottom="0.78740157480314965" header="0.31496062992125984" footer="0.31496062992125984"/>
      <pageSetup paperSize="9" scale="84" orientation="landscape" r:id="rId11"/>
      <headerFooter>
        <oddHeader>&amp;C&amp;"-,Fet"&amp;14 3. studieår</oddHeader>
      </headerFooter>
    </customSheetView>
    <customSheetView guid="{43EFFC0A-CCC0-43DD-A273-4AF58757EC00}" fitToPage="1" hiddenColumns="1">
      <selection activeCell="K25" sqref="K25"/>
      <pageMargins left="7.874015748031496E-2" right="7.874015748031496E-2" top="0.78740157480314965" bottom="0.78740157480314965" header="0.31496062992125984" footer="0.31496062992125984"/>
      <pageSetup paperSize="9" scale="84" orientation="landscape" r:id="rId12"/>
      <headerFooter>
        <oddHeader>&amp;C&amp;"-,Fet"&amp;14 3. studieår</oddHeader>
      </headerFooter>
    </customSheetView>
    <customSheetView guid="{1283C6B5-B05C-447B-8854-CDB081C03FD4}" scale="90" fitToPage="1" hiddenColumns="1">
      <pane xSplit="1" topLeftCell="B1" activePane="topRight" state="frozen"/>
      <selection pane="topRight" activeCell="D17" sqref="D17"/>
      <pageMargins left="7.874015748031496E-2" right="7.874015748031496E-2" top="0.78740157480314965" bottom="0.78740157480314965" header="0.31496062992125984" footer="0.31496062992125984"/>
      <pageSetup paperSize="9" scale="28" orientation="landscape" r:id="rId13"/>
      <headerFooter>
        <oddHeader>&amp;C&amp;"-,Fet"&amp;14 3. studieår</oddHeader>
      </headerFooter>
    </customSheetView>
    <customSheetView guid="{CB7E9FB3-C7A3-44DE-98E4-19C23B487785}" scale="90" fitToPage="1" hiddenColumns="1" topLeftCell="A10">
      <pane xSplit="1" topLeftCell="E1" activePane="topRight" state="frozen"/>
      <selection pane="topRight" activeCell="H1" sqref="H1"/>
      <pageMargins left="7.874015748031496E-2" right="7.874015748031496E-2" top="0.78740157480314965" bottom="0.78740157480314965" header="0.31496062992125984" footer="0.31496062992125984"/>
      <pageSetup paperSize="9" scale="28" orientation="landscape" r:id="rId14"/>
      <headerFooter>
        <oddHeader>&amp;C&amp;"-,Fet"&amp;14 3. studieår</oddHeader>
      </headerFooter>
    </customSheetView>
  </customSheetViews>
  <pageMargins left="7.874015748031496E-2" right="7.874015748031496E-2" top="0.78740157480314965" bottom="0.78740157480314965" header="0.31496062992125984" footer="0.31496062992125984"/>
  <pageSetup paperSize="8" scale="52" orientation="landscape" r:id="rId15"/>
  <headerFooter>
    <oddHeader>&amp;C&amp;"-,Fet"&amp;14 3. studieår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42"/>
  <sheetViews>
    <sheetView zoomScaleNormal="100" workbookViewId="0">
      <pane xSplit="1" topLeftCell="I1" activePane="topRight" state="frozen"/>
      <selection activeCell="A7" sqref="A7"/>
      <selection pane="topRight" activeCell="U15" sqref="R15:U15"/>
    </sheetView>
  </sheetViews>
  <sheetFormatPr defaultColWidth="11.42578125" defaultRowHeight="15" x14ac:dyDescent="0.25"/>
  <cols>
    <col min="1" max="1" width="34.85546875" customWidth="1"/>
    <col min="2" max="2" width="13.85546875" customWidth="1"/>
    <col min="3" max="3" width="14.7109375" bestFit="1" customWidth="1"/>
    <col min="4" max="4" width="13.5703125" customWidth="1"/>
    <col min="5" max="5" width="10.28515625" customWidth="1"/>
    <col min="6" max="6" width="6.5703125" customWidth="1"/>
    <col min="7" max="7" width="9.140625" hidden="1" customWidth="1"/>
    <col min="8" max="8" width="11.42578125" customWidth="1"/>
    <col min="9" max="9" width="10.5703125" customWidth="1"/>
    <col min="10" max="10" width="11.42578125" hidden="1" customWidth="1"/>
    <col min="11" max="11" width="8.28515625" customWidth="1"/>
    <col min="12" max="12" width="9.5703125" customWidth="1"/>
    <col min="13" max="14" width="11.140625" customWidth="1"/>
    <col min="15" max="15" width="8.28515625" hidden="1" customWidth="1"/>
    <col min="16" max="16" width="11.85546875" hidden="1" customWidth="1"/>
    <col min="17" max="17" width="11.28515625" hidden="1" customWidth="1"/>
    <col min="18" max="18" width="9.140625" customWidth="1"/>
    <col min="19" max="19" width="12.140625" customWidth="1"/>
    <col min="20" max="20" width="9.140625" style="7" customWidth="1"/>
    <col min="21" max="21" width="14.7109375" style="5" customWidth="1"/>
    <col min="22" max="28" width="13.140625" customWidth="1"/>
    <col min="29" max="29" width="14.42578125" customWidth="1"/>
    <col min="30" max="30" width="17.42578125" customWidth="1"/>
    <col min="31" max="31" width="11.140625" bestFit="1" customWidth="1"/>
    <col min="32" max="37" width="9.140625" customWidth="1"/>
    <col min="38" max="38" width="18" customWidth="1"/>
    <col min="39" max="39" width="24.7109375" customWidth="1"/>
    <col min="40" max="40" width="9.42578125" customWidth="1"/>
    <col min="41" max="41" width="15.7109375" customWidth="1"/>
    <col min="42" max="42" width="14.28515625" customWidth="1"/>
    <col min="43" max="261" width="9.140625" customWidth="1"/>
  </cols>
  <sheetData>
    <row r="1" spans="1:37" ht="15" customHeight="1" x14ac:dyDescent="0.35">
      <c r="A1" s="277" t="s">
        <v>6</v>
      </c>
      <c r="B1" s="329"/>
      <c r="C1" s="278" t="s">
        <v>378</v>
      </c>
      <c r="D1" s="292">
        <v>250</v>
      </c>
      <c r="E1" s="166"/>
      <c r="G1" s="162" t="s">
        <v>10</v>
      </c>
      <c r="H1" s="163"/>
      <c r="I1" s="161"/>
      <c r="K1" s="255">
        <v>1950</v>
      </c>
      <c r="L1" s="219"/>
      <c r="N1" s="70" t="s">
        <v>374</v>
      </c>
      <c r="T1" s="171">
        <v>20</v>
      </c>
    </row>
    <row r="2" spans="1:37" ht="15.75" customHeight="1" x14ac:dyDescent="0.25">
      <c r="A2" s="277" t="s">
        <v>7</v>
      </c>
      <c r="B2" s="278"/>
      <c r="C2" s="278"/>
      <c r="D2" s="317">
        <v>2800</v>
      </c>
      <c r="E2" s="166"/>
      <c r="G2" s="169" t="s">
        <v>11</v>
      </c>
      <c r="H2" s="170"/>
      <c r="I2" s="168"/>
      <c r="K2" s="256">
        <v>300</v>
      </c>
      <c r="L2" s="220"/>
      <c r="AE2" s="339" t="s">
        <v>99</v>
      </c>
      <c r="AF2" s="340"/>
      <c r="AG2" s="340"/>
      <c r="AH2" s="340"/>
      <c r="AI2" s="340"/>
      <c r="AJ2" s="340"/>
      <c r="AK2" s="340"/>
    </row>
    <row r="3" spans="1:37" ht="18.75" x14ac:dyDescent="0.3">
      <c r="A3" s="318" t="s">
        <v>109</v>
      </c>
      <c r="B3" s="319">
        <v>20</v>
      </c>
      <c r="C3" s="320"/>
      <c r="D3" s="320"/>
      <c r="E3" s="166"/>
      <c r="F3" s="167"/>
      <c r="G3" s="167"/>
      <c r="H3" s="167"/>
      <c r="I3" s="167"/>
      <c r="AE3" s="79" t="s">
        <v>124</v>
      </c>
      <c r="AF3" s="76" t="s">
        <v>118</v>
      </c>
      <c r="AG3" s="76"/>
      <c r="AH3" s="76" t="s">
        <v>119</v>
      </c>
      <c r="AI3" s="76"/>
      <c r="AJ3" s="76" t="s">
        <v>121</v>
      </c>
      <c r="AK3" s="76" t="s">
        <v>120</v>
      </c>
    </row>
    <row r="4" spans="1:37" ht="12.75" customHeight="1" x14ac:dyDescent="0.25">
      <c r="T4"/>
      <c r="U4"/>
      <c r="AE4" s="83">
        <v>0.1</v>
      </c>
      <c r="AF4" s="77"/>
      <c r="AG4" s="77"/>
      <c r="AH4" s="77"/>
      <c r="AI4" s="77"/>
      <c r="AJ4" s="77">
        <v>1</v>
      </c>
      <c r="AK4" s="77"/>
    </row>
    <row r="5" spans="1:37" ht="12.75" customHeight="1" thickBot="1" x14ac:dyDescent="0.3">
      <c r="T5"/>
      <c r="U5"/>
      <c r="AE5" s="346" t="s">
        <v>122</v>
      </c>
      <c r="AF5" s="347"/>
      <c r="AG5" s="347"/>
      <c r="AH5" s="347"/>
      <c r="AI5" s="347"/>
      <c r="AJ5" s="347"/>
      <c r="AK5" s="347"/>
    </row>
    <row r="6" spans="1:37" s="28" customFormat="1" ht="76.5" customHeight="1" x14ac:dyDescent="0.25">
      <c r="A6" s="59" t="s">
        <v>1</v>
      </c>
      <c r="B6" s="314" t="s">
        <v>255</v>
      </c>
      <c r="C6" s="321" t="s">
        <v>110</v>
      </c>
      <c r="D6" s="60" t="s">
        <v>2</v>
      </c>
      <c r="E6" s="60" t="s">
        <v>256</v>
      </c>
      <c r="F6" s="60" t="s">
        <v>114</v>
      </c>
      <c r="G6" s="60" t="s">
        <v>12</v>
      </c>
      <c r="H6" s="60" t="s">
        <v>3</v>
      </c>
      <c r="I6" s="60" t="s">
        <v>4</v>
      </c>
      <c r="J6" s="60" t="s">
        <v>257</v>
      </c>
      <c r="K6" s="60" t="s">
        <v>125</v>
      </c>
      <c r="L6" s="60" t="s">
        <v>340</v>
      </c>
      <c r="M6" s="60" t="s">
        <v>338</v>
      </c>
      <c r="N6" s="60" t="s">
        <v>339</v>
      </c>
      <c r="O6" s="60" t="s">
        <v>126</v>
      </c>
      <c r="P6" s="60" t="s">
        <v>127</v>
      </c>
      <c r="Q6" s="61" t="s">
        <v>258</v>
      </c>
      <c r="R6" s="60" t="s">
        <v>128</v>
      </c>
      <c r="S6" s="60" t="s">
        <v>129</v>
      </c>
      <c r="T6" s="60" t="s">
        <v>117</v>
      </c>
      <c r="U6" s="60" t="s">
        <v>143</v>
      </c>
      <c r="V6" s="60" t="s">
        <v>270</v>
      </c>
      <c r="W6" s="60" t="s">
        <v>271</v>
      </c>
      <c r="X6" s="60" t="s">
        <v>136</v>
      </c>
      <c r="Y6" s="60" t="s">
        <v>227</v>
      </c>
      <c r="Z6" s="102" t="s">
        <v>228</v>
      </c>
      <c r="AA6" s="101" t="s">
        <v>131</v>
      </c>
      <c r="AB6" s="101" t="s">
        <v>259</v>
      </c>
      <c r="AC6" s="101" t="s">
        <v>260</v>
      </c>
      <c r="AD6" s="105"/>
      <c r="AE6" s="84">
        <v>620241</v>
      </c>
      <c r="AF6" s="338">
        <v>620242</v>
      </c>
      <c r="AG6" s="338"/>
      <c r="AH6" s="348">
        <v>620243</v>
      </c>
      <c r="AI6" s="349"/>
      <c r="AJ6" s="95">
        <v>620244</v>
      </c>
      <c r="AK6" s="84">
        <v>620245</v>
      </c>
    </row>
    <row r="7" spans="1:37" s="28" customFormat="1" ht="57.75" customHeight="1" x14ac:dyDescent="0.25">
      <c r="A7" s="11" t="s">
        <v>50</v>
      </c>
      <c r="B7" s="284"/>
      <c r="C7" s="28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3"/>
      <c r="S7" s="3"/>
      <c r="T7" s="4"/>
      <c r="U7" s="21"/>
      <c r="V7" s="94"/>
      <c r="W7" s="94"/>
      <c r="X7" s="1"/>
      <c r="Y7" s="94"/>
      <c r="Z7" s="94"/>
      <c r="AA7" s="1"/>
      <c r="AB7" s="1"/>
      <c r="AC7" s="1"/>
      <c r="AD7" s="86"/>
      <c r="AE7" s="100" t="s">
        <v>344</v>
      </c>
      <c r="AF7" s="96" t="s">
        <v>141</v>
      </c>
      <c r="AG7" s="100" t="s">
        <v>133</v>
      </c>
      <c r="AH7" s="96" t="s">
        <v>141</v>
      </c>
      <c r="AI7" s="100" t="s">
        <v>142</v>
      </c>
      <c r="AJ7" s="96" t="s">
        <v>141</v>
      </c>
      <c r="AK7" s="96" t="s">
        <v>141</v>
      </c>
    </row>
    <row r="8" spans="1:37" x14ac:dyDescent="0.25">
      <c r="A8" s="11" t="s">
        <v>107</v>
      </c>
      <c r="B8" s="284">
        <v>30</v>
      </c>
      <c r="C8" s="284">
        <f>B8*$T$1*2</f>
        <v>1200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3"/>
      <c r="R8" s="3"/>
      <c r="S8" s="3"/>
      <c r="T8" s="4">
        <f>SUM(T10:T18)</f>
        <v>970</v>
      </c>
      <c r="U8" s="21"/>
      <c r="V8" s="246"/>
      <c r="W8" s="246"/>
      <c r="X8" s="3"/>
      <c r="Y8" s="246"/>
      <c r="Z8" s="246"/>
      <c r="AA8" s="3"/>
      <c r="AB8" s="3"/>
      <c r="AC8" s="3"/>
      <c r="AD8" s="78"/>
      <c r="AE8" s="100"/>
      <c r="AF8" s="1"/>
      <c r="AG8" s="68"/>
      <c r="AH8" s="1"/>
      <c r="AI8" s="56"/>
      <c r="AJ8" s="218"/>
      <c r="AK8" s="1"/>
    </row>
    <row r="9" spans="1:37" x14ac:dyDescent="0.25">
      <c r="A9" s="11" t="s">
        <v>326</v>
      </c>
      <c r="B9" s="284"/>
      <c r="C9" s="284"/>
      <c r="D9" s="236">
        <v>3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Q9" s="3"/>
      <c r="R9" s="3"/>
      <c r="S9" s="3"/>
      <c r="T9" s="4"/>
      <c r="U9" s="21"/>
      <c r="V9" s="246"/>
      <c r="W9" s="246"/>
      <c r="X9" s="3"/>
      <c r="Y9" s="246"/>
      <c r="Z9" s="246"/>
      <c r="AA9" s="3"/>
      <c r="AB9" s="3"/>
      <c r="AC9" s="3"/>
      <c r="AD9" s="82"/>
      <c r="AE9" s="257"/>
      <c r="AF9" s="1"/>
      <c r="AG9" s="218"/>
      <c r="AH9" s="1"/>
      <c r="AI9" s="246"/>
      <c r="AJ9" s="68"/>
      <c r="AK9" s="1"/>
    </row>
    <row r="10" spans="1:37" x14ac:dyDescent="0.25">
      <c r="A10" s="10" t="s">
        <v>36</v>
      </c>
      <c r="B10" s="315">
        <v>10</v>
      </c>
      <c r="C10" s="284">
        <f>B10*$T$1*2</f>
        <v>400</v>
      </c>
      <c r="D10" s="236">
        <v>20</v>
      </c>
      <c r="E10" s="236">
        <v>18</v>
      </c>
      <c r="F10" s="236"/>
      <c r="G10" s="236"/>
      <c r="H10" s="236">
        <v>35</v>
      </c>
      <c r="I10" s="236"/>
      <c r="J10" s="236">
        <v>12</v>
      </c>
      <c r="K10" s="236">
        <v>7</v>
      </c>
      <c r="L10" s="236">
        <v>6</v>
      </c>
      <c r="M10" s="236">
        <v>7</v>
      </c>
      <c r="N10" s="236">
        <v>6</v>
      </c>
      <c r="O10" s="236"/>
      <c r="P10" s="237">
        <f t="shared" ref="P10:P16" si="0">+IF(F10&gt;0,$D$1/I10,0)</f>
        <v>0</v>
      </c>
      <c r="Q10" s="3"/>
      <c r="R10" s="3">
        <f>D10+(E10*K10)+(F10*O10)</f>
        <v>146</v>
      </c>
      <c r="S10" s="3">
        <f>D10+(E10*M10)+(F10*P10)</f>
        <v>146</v>
      </c>
      <c r="T10" s="4">
        <f>R10+S10</f>
        <v>292</v>
      </c>
      <c r="U10" s="21">
        <f t="shared" ref="U10:U17" si="1">T10*$K$1</f>
        <v>569400</v>
      </c>
      <c r="V10" s="246">
        <v>1</v>
      </c>
      <c r="W10" s="246">
        <v>1</v>
      </c>
      <c r="X10" s="3">
        <f>(V10+W10)*$K$2*$D$1*0.25</f>
        <v>37500</v>
      </c>
      <c r="Y10" s="246">
        <v>1</v>
      </c>
      <c r="Z10" s="246">
        <v>1</v>
      </c>
      <c r="AA10" s="3">
        <f>(Y10+Z10)*$K$2*$D$1*0.25</f>
        <v>37500</v>
      </c>
      <c r="AB10" s="3">
        <f>T10+X10/$K$1+AA10/$K$1</f>
        <v>330.46153846153845</v>
      </c>
      <c r="AC10" s="3"/>
      <c r="AD10" s="82"/>
      <c r="AE10" s="257"/>
      <c r="AF10" s="1">
        <f>IF(AG10&gt;0,(T10-D10*2)*(L10+N10)/(K10+M10),0)</f>
        <v>216</v>
      </c>
      <c r="AG10" s="218">
        <f>N10+L10</f>
        <v>12</v>
      </c>
      <c r="AH10" s="1"/>
      <c r="AI10" s="246"/>
      <c r="AJ10" s="218">
        <f>SUM(O10,L10)</f>
        <v>6</v>
      </c>
      <c r="AK10" s="1"/>
    </row>
    <row r="11" spans="1:37" x14ac:dyDescent="0.25">
      <c r="A11" s="10" t="s">
        <v>37</v>
      </c>
      <c r="B11" s="315">
        <v>10</v>
      </c>
      <c r="C11" s="284">
        <f>B11*$T$1*2</f>
        <v>400</v>
      </c>
      <c r="D11" s="236">
        <v>20</v>
      </c>
      <c r="E11" s="236">
        <v>16</v>
      </c>
      <c r="F11" s="236"/>
      <c r="G11" s="236"/>
      <c r="H11" s="236">
        <v>35</v>
      </c>
      <c r="I11" s="236"/>
      <c r="J11" s="236">
        <v>12</v>
      </c>
      <c r="K11" s="236">
        <v>7</v>
      </c>
      <c r="L11" s="236">
        <v>6</v>
      </c>
      <c r="M11" s="236">
        <v>7</v>
      </c>
      <c r="N11" s="236">
        <v>6</v>
      </c>
      <c r="O11" s="236"/>
      <c r="P11" s="237">
        <f t="shared" si="0"/>
        <v>0</v>
      </c>
      <c r="Q11" s="3"/>
      <c r="R11" s="3">
        <f t="shared" ref="R11:R17" si="2">D11+(E11*K11)+(F11*O11)</f>
        <v>132</v>
      </c>
      <c r="S11" s="3">
        <f t="shared" ref="S11:S17" si="3">D11+(E11*M11)+(F11*P11)</f>
        <v>132</v>
      </c>
      <c r="T11" s="4">
        <f t="shared" ref="T11:T17" si="4">R11+S11</f>
        <v>264</v>
      </c>
      <c r="U11" s="21">
        <f t="shared" si="1"/>
        <v>514800</v>
      </c>
      <c r="V11" s="246">
        <v>1</v>
      </c>
      <c r="W11" s="246">
        <v>1</v>
      </c>
      <c r="X11" s="3">
        <f t="shared" ref="X11:X18" si="5">(V11+W11)*$K$2*$D$1*0.25</f>
        <v>37500</v>
      </c>
      <c r="Y11" s="246">
        <v>1</v>
      </c>
      <c r="Z11" s="246">
        <v>1</v>
      </c>
      <c r="AA11" s="3">
        <f t="shared" ref="AA11:AA18" si="6">(Y11+Z11)*$K$2*$D$1*0.25</f>
        <v>37500</v>
      </c>
      <c r="AB11" s="3">
        <f t="shared" ref="AB11:AB30" si="7">T11+X11/$K$1+AA11/$K$1</f>
        <v>302.46153846153845</v>
      </c>
      <c r="AC11" s="3"/>
      <c r="AD11" s="82"/>
      <c r="AE11" s="257">
        <v>0</v>
      </c>
      <c r="AF11" s="1">
        <f t="shared" ref="AF11:AF17" si="8">IF(AG11&gt;0,(T11-D11*2)*(L11+N11)/(K11+M11),0)</f>
        <v>192</v>
      </c>
      <c r="AG11" s="218">
        <f t="shared" ref="AG11:AG17" si="9">N11+L11</f>
        <v>12</v>
      </c>
      <c r="AH11" s="1"/>
      <c r="AI11" s="56"/>
      <c r="AJ11" s="218">
        <f>SUM(O11,L11)</f>
        <v>6</v>
      </c>
      <c r="AK11" s="1"/>
    </row>
    <row r="12" spans="1:37" ht="14.45" x14ac:dyDescent="0.3">
      <c r="A12" s="10" t="s">
        <v>38</v>
      </c>
      <c r="B12" s="315">
        <v>10</v>
      </c>
      <c r="C12" s="284">
        <f>B12*$T$1*2</f>
        <v>400</v>
      </c>
      <c r="D12" s="236">
        <v>20</v>
      </c>
      <c r="E12" s="236">
        <v>16</v>
      </c>
      <c r="F12" s="236"/>
      <c r="G12" s="236"/>
      <c r="H12" s="236">
        <v>35</v>
      </c>
      <c r="I12" s="236"/>
      <c r="J12" s="236">
        <v>12</v>
      </c>
      <c r="K12" s="236">
        <v>7</v>
      </c>
      <c r="L12" s="236">
        <v>6</v>
      </c>
      <c r="M12" s="236">
        <v>7</v>
      </c>
      <c r="N12" s="236">
        <v>6</v>
      </c>
      <c r="O12" s="236"/>
      <c r="P12" s="237">
        <f t="shared" si="0"/>
        <v>0</v>
      </c>
      <c r="Q12" s="3"/>
      <c r="R12" s="3">
        <f t="shared" si="2"/>
        <v>132</v>
      </c>
      <c r="S12" s="3">
        <f t="shared" si="3"/>
        <v>132</v>
      </c>
      <c r="T12" s="4">
        <f t="shared" si="4"/>
        <v>264</v>
      </c>
      <c r="U12" s="21">
        <f t="shared" si="1"/>
        <v>514800</v>
      </c>
      <c r="V12" s="246">
        <v>1</v>
      </c>
      <c r="W12" s="246">
        <v>1</v>
      </c>
      <c r="X12" s="3">
        <f t="shared" si="5"/>
        <v>37500</v>
      </c>
      <c r="Y12" s="246">
        <v>1</v>
      </c>
      <c r="Z12" s="246">
        <v>1</v>
      </c>
      <c r="AA12" s="3">
        <f t="shared" si="6"/>
        <v>37500</v>
      </c>
      <c r="AB12" s="3">
        <f t="shared" si="7"/>
        <v>302.46153846153845</v>
      </c>
      <c r="AC12" s="3"/>
      <c r="AD12" s="82"/>
      <c r="AE12" s="257">
        <v>0</v>
      </c>
      <c r="AF12" s="1">
        <f t="shared" si="8"/>
        <v>192</v>
      </c>
      <c r="AG12" s="218">
        <f t="shared" si="9"/>
        <v>12</v>
      </c>
      <c r="AH12" s="1"/>
      <c r="AI12" s="56"/>
      <c r="AJ12" s="218">
        <f t="shared" ref="AJ12:AJ17" si="10">SUM(O12,L12)</f>
        <v>6</v>
      </c>
      <c r="AK12" s="1"/>
    </row>
    <row r="13" spans="1:37" ht="14.45" x14ac:dyDescent="0.3">
      <c r="A13" s="10" t="s">
        <v>39</v>
      </c>
      <c r="B13" s="315"/>
      <c r="C13" s="315"/>
      <c r="D13" s="236">
        <v>0</v>
      </c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7">
        <f t="shared" si="0"/>
        <v>0</v>
      </c>
      <c r="Q13" s="3"/>
      <c r="R13" s="3">
        <f t="shared" si="2"/>
        <v>0</v>
      </c>
      <c r="S13" s="3">
        <f t="shared" si="3"/>
        <v>0</v>
      </c>
      <c r="T13" s="4">
        <f t="shared" si="4"/>
        <v>0</v>
      </c>
      <c r="U13" s="21">
        <f t="shared" si="1"/>
        <v>0</v>
      </c>
      <c r="V13" s="251"/>
      <c r="W13" s="251"/>
      <c r="X13" s="3">
        <f t="shared" si="5"/>
        <v>0</v>
      </c>
      <c r="Y13" s="251"/>
      <c r="Z13" s="251"/>
      <c r="AA13" s="3">
        <f t="shared" si="6"/>
        <v>0</v>
      </c>
      <c r="AB13" s="3">
        <f t="shared" si="7"/>
        <v>0</v>
      </c>
      <c r="AC13" s="3"/>
      <c r="AD13" s="82"/>
      <c r="AE13" s="257">
        <v>0</v>
      </c>
      <c r="AF13" s="1">
        <f t="shared" si="8"/>
        <v>0</v>
      </c>
      <c r="AG13" s="218">
        <f t="shared" si="9"/>
        <v>0</v>
      </c>
      <c r="AH13" s="1"/>
      <c r="AI13" s="56"/>
      <c r="AJ13" s="218">
        <f t="shared" si="10"/>
        <v>0</v>
      </c>
      <c r="AK13" s="1"/>
    </row>
    <row r="14" spans="1:37" ht="14.45" x14ac:dyDescent="0.3">
      <c r="A14" s="10" t="s">
        <v>327</v>
      </c>
      <c r="B14" s="315"/>
      <c r="C14" s="315"/>
      <c r="D14" s="236"/>
      <c r="E14" s="236">
        <v>9</v>
      </c>
      <c r="F14" s="236"/>
      <c r="G14" s="236"/>
      <c r="H14" s="236">
        <v>25</v>
      </c>
      <c r="I14" s="236"/>
      <c r="J14" s="236">
        <v>12</v>
      </c>
      <c r="K14" s="236">
        <v>6</v>
      </c>
      <c r="L14" s="236">
        <v>4</v>
      </c>
      <c r="M14" s="236">
        <v>6</v>
      </c>
      <c r="N14" s="236">
        <v>4</v>
      </c>
      <c r="O14" s="236"/>
      <c r="P14" s="237">
        <f t="shared" si="0"/>
        <v>0</v>
      </c>
      <c r="Q14" s="3"/>
      <c r="R14" s="3">
        <f t="shared" si="2"/>
        <v>54</v>
      </c>
      <c r="S14" s="3">
        <f t="shared" si="3"/>
        <v>54</v>
      </c>
      <c r="T14" s="4">
        <f t="shared" si="4"/>
        <v>108</v>
      </c>
      <c r="U14" s="21">
        <f t="shared" si="1"/>
        <v>210600</v>
      </c>
      <c r="V14" s="251"/>
      <c r="W14" s="251"/>
      <c r="X14" s="3">
        <f t="shared" si="5"/>
        <v>0</v>
      </c>
      <c r="Y14" s="251"/>
      <c r="Z14" s="251"/>
      <c r="AA14" s="3">
        <f t="shared" si="6"/>
        <v>0</v>
      </c>
      <c r="AB14" s="3">
        <f t="shared" si="7"/>
        <v>108</v>
      </c>
      <c r="AC14" s="3"/>
      <c r="AD14" s="82"/>
      <c r="AE14" s="257">
        <f>D13*$AE$4</f>
        <v>0</v>
      </c>
      <c r="AF14" s="1">
        <f t="shared" si="8"/>
        <v>72</v>
      </c>
      <c r="AG14" s="218">
        <f t="shared" si="9"/>
        <v>8</v>
      </c>
      <c r="AH14" s="1"/>
      <c r="AI14" s="56"/>
      <c r="AJ14" s="218">
        <f t="shared" si="10"/>
        <v>4</v>
      </c>
      <c r="AK14" s="1"/>
    </row>
    <row r="15" spans="1:37" ht="14.45" x14ac:dyDescent="0.3">
      <c r="A15" s="10" t="s">
        <v>367</v>
      </c>
      <c r="B15" s="315"/>
      <c r="C15" s="315"/>
      <c r="D15" s="236">
        <v>2</v>
      </c>
      <c r="E15" s="236"/>
      <c r="F15" s="236"/>
      <c r="G15" s="236"/>
      <c r="H15" s="236">
        <v>50</v>
      </c>
      <c r="I15" s="236"/>
      <c r="J15" s="236">
        <v>12</v>
      </c>
      <c r="K15" s="236">
        <v>2</v>
      </c>
      <c r="L15" s="236"/>
      <c r="M15" s="236">
        <v>2</v>
      </c>
      <c r="N15" s="236"/>
      <c r="O15" s="236"/>
      <c r="P15" s="237">
        <f t="shared" si="0"/>
        <v>0</v>
      </c>
      <c r="Q15" s="3"/>
      <c r="R15" s="3">
        <f t="shared" si="2"/>
        <v>2</v>
      </c>
      <c r="S15" s="3">
        <f t="shared" si="3"/>
        <v>2</v>
      </c>
      <c r="T15" s="4">
        <f t="shared" si="4"/>
        <v>4</v>
      </c>
      <c r="U15" s="21">
        <f t="shared" si="1"/>
        <v>7800</v>
      </c>
      <c r="V15" s="251"/>
      <c r="W15" s="251"/>
      <c r="X15" s="3">
        <f t="shared" si="5"/>
        <v>0</v>
      </c>
      <c r="Y15" s="251"/>
      <c r="Z15" s="251"/>
      <c r="AA15" s="3">
        <f t="shared" si="6"/>
        <v>0</v>
      </c>
      <c r="AB15" s="3">
        <f t="shared" si="7"/>
        <v>4</v>
      </c>
      <c r="AC15" s="3"/>
      <c r="AD15" s="82"/>
      <c r="AE15" s="257">
        <f>D14*$AE$4</f>
        <v>0</v>
      </c>
      <c r="AF15" s="1">
        <f t="shared" si="8"/>
        <v>0</v>
      </c>
      <c r="AG15" s="218">
        <f t="shared" si="9"/>
        <v>0</v>
      </c>
      <c r="AH15" s="1"/>
      <c r="AI15" s="56"/>
      <c r="AJ15" s="218">
        <f t="shared" si="10"/>
        <v>0</v>
      </c>
      <c r="AK15" s="1"/>
    </row>
    <row r="16" spans="1:37" ht="14.45" x14ac:dyDescent="0.3">
      <c r="A16" s="10" t="s">
        <v>66</v>
      </c>
      <c r="B16" s="315"/>
      <c r="C16" s="315"/>
      <c r="D16" s="236">
        <v>13</v>
      </c>
      <c r="E16" s="236"/>
      <c r="F16" s="236"/>
      <c r="G16" s="236"/>
      <c r="H16" s="236"/>
      <c r="I16" s="236"/>
      <c r="J16" s="236">
        <v>12</v>
      </c>
      <c r="K16" s="236">
        <v>0</v>
      </c>
      <c r="L16" s="236"/>
      <c r="M16" s="236"/>
      <c r="N16" s="236"/>
      <c r="O16" s="236"/>
      <c r="P16" s="237">
        <f t="shared" si="0"/>
        <v>0</v>
      </c>
      <c r="Q16" s="3"/>
      <c r="R16" s="3">
        <f t="shared" si="2"/>
        <v>13</v>
      </c>
      <c r="S16" s="3">
        <f t="shared" si="3"/>
        <v>13</v>
      </c>
      <c r="T16" s="4">
        <f t="shared" si="4"/>
        <v>26</v>
      </c>
      <c r="U16" s="21">
        <f t="shared" si="1"/>
        <v>50700</v>
      </c>
      <c r="V16" s="246"/>
      <c r="W16" s="246"/>
      <c r="X16" s="3">
        <f t="shared" si="5"/>
        <v>0</v>
      </c>
      <c r="Y16" s="246"/>
      <c r="Z16" s="246"/>
      <c r="AA16" s="3">
        <f t="shared" si="6"/>
        <v>0</v>
      </c>
      <c r="AB16" s="3">
        <f t="shared" si="7"/>
        <v>26</v>
      </c>
      <c r="AC16" s="3"/>
      <c r="AD16" s="82"/>
      <c r="AE16" s="257">
        <v>0</v>
      </c>
      <c r="AF16" s="1">
        <f t="shared" si="8"/>
        <v>0</v>
      </c>
      <c r="AG16" s="218">
        <f t="shared" si="9"/>
        <v>0</v>
      </c>
      <c r="AH16" s="1"/>
      <c r="AI16" s="56"/>
      <c r="AJ16" s="218">
        <f t="shared" si="10"/>
        <v>0</v>
      </c>
      <c r="AK16" s="1"/>
    </row>
    <row r="17" spans="1:37" x14ac:dyDescent="0.25">
      <c r="A17" s="10" t="s">
        <v>42</v>
      </c>
      <c r="B17" s="315"/>
      <c r="C17" s="315"/>
      <c r="D17" s="236">
        <v>6</v>
      </c>
      <c r="E17" s="236"/>
      <c r="F17" s="236"/>
      <c r="G17" s="236"/>
      <c r="H17" s="236"/>
      <c r="I17" s="236"/>
      <c r="J17" s="236">
        <v>12</v>
      </c>
      <c r="K17" s="236">
        <v>6</v>
      </c>
      <c r="L17" s="236"/>
      <c r="M17" s="236"/>
      <c r="N17" s="236"/>
      <c r="O17" s="236"/>
      <c r="P17" s="237">
        <f>+IF(F17&gt;0,$D$1/I17,0)</f>
        <v>0</v>
      </c>
      <c r="Q17" s="3"/>
      <c r="R17" s="3">
        <f t="shared" si="2"/>
        <v>6</v>
      </c>
      <c r="S17" s="3">
        <f t="shared" si="3"/>
        <v>6</v>
      </c>
      <c r="T17" s="4">
        <f t="shared" si="4"/>
        <v>12</v>
      </c>
      <c r="U17" s="21">
        <f t="shared" si="1"/>
        <v>23400</v>
      </c>
      <c r="V17" s="246"/>
      <c r="W17" s="246"/>
      <c r="X17" s="3">
        <f t="shared" si="5"/>
        <v>0</v>
      </c>
      <c r="Y17" s="246"/>
      <c r="Z17" s="246"/>
      <c r="AA17" s="3">
        <f t="shared" si="6"/>
        <v>0</v>
      </c>
      <c r="AB17" s="3">
        <f t="shared" si="7"/>
        <v>12</v>
      </c>
      <c r="AC17" s="3"/>
      <c r="AD17" s="82"/>
      <c r="AE17" s="257">
        <v>26</v>
      </c>
      <c r="AF17" s="1">
        <f t="shared" si="8"/>
        <v>0</v>
      </c>
      <c r="AG17" s="218">
        <f t="shared" si="9"/>
        <v>0</v>
      </c>
      <c r="AH17" s="1"/>
      <c r="AI17" s="56"/>
      <c r="AJ17" s="218">
        <f t="shared" si="10"/>
        <v>0</v>
      </c>
      <c r="AK17" s="1"/>
    </row>
    <row r="18" spans="1:37" ht="14.45" x14ac:dyDescent="0.3">
      <c r="A18" s="10"/>
      <c r="B18" s="315"/>
      <c r="C18" s="315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7"/>
      <c r="Q18" s="3"/>
      <c r="R18" s="3"/>
      <c r="S18" s="3"/>
      <c r="T18" s="4"/>
      <c r="U18" s="21"/>
      <c r="V18" s="246"/>
      <c r="W18" s="246"/>
      <c r="X18" s="3">
        <f t="shared" si="5"/>
        <v>0</v>
      </c>
      <c r="Y18" s="246"/>
      <c r="Z18" s="246"/>
      <c r="AA18" s="3">
        <f t="shared" si="6"/>
        <v>0</v>
      </c>
      <c r="AB18" s="3">
        <f t="shared" si="7"/>
        <v>0</v>
      </c>
      <c r="AC18" s="3"/>
      <c r="AD18" s="82"/>
      <c r="AE18" s="257">
        <v>4</v>
      </c>
      <c r="AF18" s="1"/>
      <c r="AG18" s="218"/>
      <c r="AH18" s="1"/>
      <c r="AI18" s="56"/>
      <c r="AJ18" s="218"/>
      <c r="AK18" s="1"/>
    </row>
    <row r="19" spans="1:37" x14ac:dyDescent="0.25">
      <c r="A19" s="11" t="s">
        <v>49</v>
      </c>
      <c r="B19" s="284"/>
      <c r="C19" s="284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7"/>
      <c r="Q19" s="3"/>
      <c r="R19" s="3"/>
      <c r="S19" s="3"/>
      <c r="T19" s="4"/>
      <c r="U19" s="21"/>
      <c r="V19" s="246"/>
      <c r="W19" s="246"/>
      <c r="X19" s="3"/>
      <c r="Y19" s="246"/>
      <c r="Z19" s="246"/>
      <c r="AA19" s="3"/>
      <c r="AB19" s="3">
        <f t="shared" si="7"/>
        <v>0</v>
      </c>
      <c r="AC19" s="3"/>
      <c r="AD19" s="82"/>
      <c r="AE19" s="257"/>
      <c r="AF19" s="1"/>
      <c r="AG19" s="218"/>
      <c r="AH19" s="1"/>
      <c r="AI19" s="56"/>
      <c r="AJ19" s="218">
        <f t="shared" ref="AJ19:AJ24" si="11">SUM(O18,L18)</f>
        <v>0</v>
      </c>
      <c r="AK19" s="1"/>
    </row>
    <row r="20" spans="1:37" x14ac:dyDescent="0.25">
      <c r="A20" s="11" t="s">
        <v>108</v>
      </c>
      <c r="B20" s="284">
        <v>10</v>
      </c>
      <c r="C20" s="284">
        <f>B20*$T$1*2</f>
        <v>400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  <c r="Q20" s="3"/>
      <c r="R20" s="3"/>
      <c r="S20" s="3"/>
      <c r="T20" s="4">
        <f>SUM(T21:T23)</f>
        <v>352</v>
      </c>
      <c r="U20" s="21"/>
      <c r="V20" s="246"/>
      <c r="W20" s="246"/>
      <c r="X20" s="3"/>
      <c r="Y20" s="246"/>
      <c r="Z20" s="246"/>
      <c r="AA20" s="3"/>
      <c r="AB20" s="3">
        <f t="shared" si="7"/>
        <v>352</v>
      </c>
      <c r="AC20" s="3"/>
      <c r="AD20" s="82"/>
      <c r="AE20" s="257">
        <f>D19*2*$AE$4</f>
        <v>0</v>
      </c>
      <c r="AF20" s="1"/>
      <c r="AG20" s="218"/>
      <c r="AH20" s="1"/>
      <c r="AI20" s="56"/>
      <c r="AJ20" s="218">
        <f t="shared" si="11"/>
        <v>0</v>
      </c>
      <c r="AK20" s="1"/>
    </row>
    <row r="21" spans="1:37" x14ac:dyDescent="0.25">
      <c r="A21" s="10" t="s">
        <v>325</v>
      </c>
      <c r="B21" s="315"/>
      <c r="C21" s="315"/>
      <c r="D21" s="236">
        <v>2</v>
      </c>
      <c r="E21" s="236"/>
      <c r="F21" s="236"/>
      <c r="G21" s="236"/>
      <c r="H21" s="236"/>
      <c r="I21" s="236"/>
      <c r="J21" s="236">
        <v>12</v>
      </c>
      <c r="K21" s="236">
        <v>0</v>
      </c>
      <c r="L21" s="236"/>
      <c r="M21" s="236"/>
      <c r="N21" s="236"/>
      <c r="O21" s="236"/>
      <c r="P21" s="237">
        <f>+IF(F21&gt;0,$D$1/I21,0)</f>
        <v>0</v>
      </c>
      <c r="Q21" s="3"/>
      <c r="R21" s="3">
        <f t="shared" ref="R21:R23" si="12">D21+(E21*K21)+(F21*O21)</f>
        <v>2</v>
      </c>
      <c r="S21" s="3">
        <f t="shared" ref="S21:S23" si="13">D21+(E21*M21)+(F21*P21)</f>
        <v>2</v>
      </c>
      <c r="T21" s="4">
        <f t="shared" ref="T21:T23" si="14">R21+S21</f>
        <v>4</v>
      </c>
      <c r="U21" s="21">
        <f t="shared" ref="U21:U23" si="15">T21*$K$1</f>
        <v>7800</v>
      </c>
      <c r="V21" s="246"/>
      <c r="W21" s="246"/>
      <c r="X21" s="3">
        <f t="shared" ref="X21:X30" si="16">(V21+W21)*$K$2*$D$1*0.25</f>
        <v>0</v>
      </c>
      <c r="Y21" s="246"/>
      <c r="Z21" s="246"/>
      <c r="AA21" s="3">
        <f t="shared" ref="AA21:AA30" si="17">(Y21+Z21)*$K$2*$D$1*0.25</f>
        <v>0</v>
      </c>
      <c r="AB21" s="3">
        <f t="shared" si="7"/>
        <v>4</v>
      </c>
      <c r="AC21" s="3"/>
      <c r="AD21" s="82"/>
      <c r="AE21" s="257">
        <f>D20*2*$AE$4</f>
        <v>0</v>
      </c>
      <c r="AF21" s="1">
        <f t="shared" ref="AF21:AF23" si="18">IF(AG21&gt;0,(T21-D21*2)*(L21+N21)/(K21+M21),0)</f>
        <v>0</v>
      </c>
      <c r="AG21" s="218">
        <f t="shared" ref="AG21:AG23" si="19">N21+L21</f>
        <v>0</v>
      </c>
      <c r="AH21" s="1"/>
      <c r="AI21" s="56"/>
      <c r="AJ21" s="218">
        <f t="shared" ref="AJ21:AJ23" si="20">SUM(O21,L21)</f>
        <v>0</v>
      </c>
      <c r="AK21" s="1"/>
    </row>
    <row r="22" spans="1:37" x14ac:dyDescent="0.25">
      <c r="A22" s="10" t="s">
        <v>40</v>
      </c>
      <c r="B22" s="315">
        <v>7</v>
      </c>
      <c r="C22" s="284">
        <f>B22*$T$1*2</f>
        <v>280</v>
      </c>
      <c r="D22" s="236">
        <v>18</v>
      </c>
      <c r="E22" s="236">
        <v>8</v>
      </c>
      <c r="F22" s="236"/>
      <c r="G22" s="236"/>
      <c r="H22" s="236">
        <v>15</v>
      </c>
      <c r="I22" s="236"/>
      <c r="J22" s="236">
        <v>12</v>
      </c>
      <c r="K22" s="236">
        <v>12</v>
      </c>
      <c r="L22" s="236">
        <v>10</v>
      </c>
      <c r="M22" s="236">
        <v>12</v>
      </c>
      <c r="N22" s="236">
        <v>10</v>
      </c>
      <c r="O22" s="236"/>
      <c r="P22" s="237">
        <v>0</v>
      </c>
      <c r="Q22" s="3"/>
      <c r="R22" s="3">
        <f t="shared" si="12"/>
        <v>114</v>
      </c>
      <c r="S22" s="3">
        <f t="shared" si="13"/>
        <v>114</v>
      </c>
      <c r="T22" s="4">
        <f t="shared" si="14"/>
        <v>228</v>
      </c>
      <c r="U22" s="21">
        <f t="shared" si="15"/>
        <v>444600</v>
      </c>
      <c r="V22" s="246">
        <v>1</v>
      </c>
      <c r="W22" s="246">
        <v>1</v>
      </c>
      <c r="X22" s="3">
        <f t="shared" si="16"/>
        <v>37500</v>
      </c>
      <c r="Y22" s="246"/>
      <c r="Z22" s="246"/>
      <c r="AA22" s="3">
        <f t="shared" si="17"/>
        <v>0</v>
      </c>
      <c r="AB22" s="3">
        <f t="shared" si="7"/>
        <v>247.23076923076923</v>
      </c>
      <c r="AC22" s="3"/>
      <c r="AD22" s="82"/>
      <c r="AE22" s="257">
        <v>0</v>
      </c>
      <c r="AF22" s="1">
        <f t="shared" si="18"/>
        <v>160</v>
      </c>
      <c r="AG22" s="218">
        <f t="shared" si="19"/>
        <v>20</v>
      </c>
      <c r="AH22" s="1"/>
      <c r="AI22" s="56"/>
      <c r="AJ22" s="218">
        <f t="shared" si="20"/>
        <v>10</v>
      </c>
      <c r="AK22" s="1"/>
    </row>
    <row r="23" spans="1:37" x14ac:dyDescent="0.25">
      <c r="A23" s="10" t="s">
        <v>368</v>
      </c>
      <c r="B23" s="315">
        <v>3</v>
      </c>
      <c r="C23" s="284">
        <f>B23*$T$1*2</f>
        <v>120</v>
      </c>
      <c r="D23" s="236">
        <v>4</v>
      </c>
      <c r="E23" s="236">
        <v>8</v>
      </c>
      <c r="F23" s="236"/>
      <c r="G23" s="236"/>
      <c r="H23" s="236">
        <v>40</v>
      </c>
      <c r="I23" s="236"/>
      <c r="J23" s="236">
        <v>12</v>
      </c>
      <c r="K23" s="236">
        <v>7</v>
      </c>
      <c r="L23" s="236">
        <v>2</v>
      </c>
      <c r="M23" s="236">
        <v>7</v>
      </c>
      <c r="N23" s="236">
        <v>2</v>
      </c>
      <c r="O23" s="236"/>
      <c r="P23" s="237">
        <f>+IF(F23&gt;0,$D$1/I23,0)</f>
        <v>0</v>
      </c>
      <c r="Q23" s="3"/>
      <c r="R23" s="3">
        <f t="shared" si="12"/>
        <v>60</v>
      </c>
      <c r="S23" s="3">
        <f t="shared" si="13"/>
        <v>60</v>
      </c>
      <c r="T23" s="4">
        <f t="shared" si="14"/>
        <v>120</v>
      </c>
      <c r="U23" s="21">
        <f t="shared" si="15"/>
        <v>234000</v>
      </c>
      <c r="V23" s="251">
        <v>1</v>
      </c>
      <c r="W23" s="251">
        <v>1</v>
      </c>
      <c r="X23" s="3">
        <f t="shared" si="16"/>
        <v>37500</v>
      </c>
      <c r="Y23" s="251"/>
      <c r="Z23" s="251"/>
      <c r="AA23" s="3">
        <f t="shared" si="17"/>
        <v>0</v>
      </c>
      <c r="AB23" s="3">
        <f t="shared" si="7"/>
        <v>139.23076923076923</v>
      </c>
      <c r="AC23" s="3"/>
      <c r="AD23" s="82"/>
      <c r="AE23" s="257">
        <v>2</v>
      </c>
      <c r="AF23" s="1">
        <f t="shared" si="18"/>
        <v>32</v>
      </c>
      <c r="AG23" s="218">
        <f t="shared" si="19"/>
        <v>4</v>
      </c>
      <c r="AH23" s="1"/>
      <c r="AI23" s="56"/>
      <c r="AJ23" s="218">
        <f t="shared" si="20"/>
        <v>2</v>
      </c>
      <c r="AK23" s="1"/>
    </row>
    <row r="24" spans="1:37" x14ac:dyDescent="0.25">
      <c r="A24" s="11" t="s">
        <v>51</v>
      </c>
      <c r="B24" s="284"/>
      <c r="C24" s="284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7"/>
      <c r="Q24" s="3"/>
      <c r="R24" s="3"/>
      <c r="S24" s="3"/>
      <c r="T24" s="4"/>
      <c r="U24" s="21"/>
      <c r="V24" s="246"/>
      <c r="W24" s="246"/>
      <c r="X24" s="3">
        <f t="shared" si="16"/>
        <v>0</v>
      </c>
      <c r="Y24" s="246"/>
      <c r="Z24" s="246"/>
      <c r="AA24" s="3">
        <f t="shared" si="17"/>
        <v>0</v>
      </c>
      <c r="AB24" s="3">
        <f t="shared" si="7"/>
        <v>0</v>
      </c>
      <c r="AC24" s="3"/>
      <c r="AD24" s="82"/>
      <c r="AE24" s="257">
        <v>0</v>
      </c>
      <c r="AF24" s="1"/>
      <c r="AG24" s="218"/>
      <c r="AH24" s="1"/>
      <c r="AI24" s="56"/>
      <c r="AJ24" s="218">
        <f t="shared" si="11"/>
        <v>2</v>
      </c>
      <c r="AK24" s="1"/>
    </row>
    <row r="25" spans="1:37" x14ac:dyDescent="0.25">
      <c r="A25" s="25" t="s">
        <v>55</v>
      </c>
      <c r="B25" s="322"/>
      <c r="C25" s="322"/>
      <c r="D25" s="236">
        <v>3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7"/>
      <c r="Q25" s="3"/>
      <c r="R25" s="3">
        <f t="shared" ref="R25:R30" si="21">D25+(E25*K25)+(F25*O25)</f>
        <v>3</v>
      </c>
      <c r="S25" s="3">
        <f t="shared" ref="S25:S30" si="22">D25+(E25*M25)+(F25*P25)</f>
        <v>3</v>
      </c>
      <c r="T25" s="4">
        <f t="shared" ref="T25:T30" si="23">R25+S25</f>
        <v>6</v>
      </c>
      <c r="U25" s="21">
        <f t="shared" ref="U25:U30" si="24">T25*$K$1</f>
        <v>11700</v>
      </c>
      <c r="V25" s="246"/>
      <c r="W25" s="246"/>
      <c r="X25" s="3">
        <f t="shared" si="16"/>
        <v>0</v>
      </c>
      <c r="Y25" s="246"/>
      <c r="Z25" s="246"/>
      <c r="AA25" s="3">
        <f t="shared" si="17"/>
        <v>0</v>
      </c>
      <c r="AB25" s="3">
        <f t="shared" si="7"/>
        <v>6</v>
      </c>
      <c r="AC25" s="3"/>
      <c r="AD25" s="82"/>
      <c r="AE25" s="257">
        <v>2</v>
      </c>
      <c r="AF25" s="1">
        <f t="shared" ref="AF25:AF30" si="25">IF(AG25&gt;0,(T25-D25*2)*(L25+N25)/(K25+M25),0)</f>
        <v>0</v>
      </c>
      <c r="AG25" s="218">
        <f t="shared" ref="AG25:AG30" si="26">N25+L25</f>
        <v>0</v>
      </c>
      <c r="AH25" s="1"/>
      <c r="AI25" s="56"/>
      <c r="AJ25" s="218">
        <f t="shared" ref="AJ25:AJ30" si="27">SUM(O25,L25)</f>
        <v>0</v>
      </c>
      <c r="AK25" s="1"/>
    </row>
    <row r="26" spans="1:37" x14ac:dyDescent="0.25">
      <c r="A26" s="10" t="s">
        <v>287</v>
      </c>
      <c r="B26" s="315">
        <v>10</v>
      </c>
      <c r="C26" s="284">
        <f>B26*$T$1*2</f>
        <v>400</v>
      </c>
      <c r="D26" s="236">
        <v>12</v>
      </c>
      <c r="E26" s="236">
        <v>10</v>
      </c>
      <c r="F26" s="236"/>
      <c r="G26" s="236"/>
      <c r="H26" s="236">
        <v>35</v>
      </c>
      <c r="I26" s="236"/>
      <c r="J26" s="236">
        <v>12</v>
      </c>
      <c r="K26" s="236">
        <v>5</v>
      </c>
      <c r="L26" s="236">
        <v>1</v>
      </c>
      <c r="M26" s="236">
        <v>5</v>
      </c>
      <c r="N26" s="236">
        <v>1</v>
      </c>
      <c r="O26" s="236"/>
      <c r="P26" s="237">
        <f>+IF(F26&gt;0,$D$1/I26,0)</f>
        <v>0</v>
      </c>
      <c r="Q26" s="3"/>
      <c r="R26" s="3">
        <f t="shared" si="21"/>
        <v>62</v>
      </c>
      <c r="S26" s="3">
        <f t="shared" si="22"/>
        <v>62</v>
      </c>
      <c r="T26" s="4">
        <f t="shared" si="23"/>
        <v>124</v>
      </c>
      <c r="U26" s="21">
        <f t="shared" si="24"/>
        <v>241800</v>
      </c>
      <c r="V26" s="246">
        <v>1</v>
      </c>
      <c r="W26" s="246">
        <v>1</v>
      </c>
      <c r="X26" s="3">
        <f t="shared" si="16"/>
        <v>37500</v>
      </c>
      <c r="Y26" s="246"/>
      <c r="Z26" s="246"/>
      <c r="AA26" s="3">
        <f t="shared" si="17"/>
        <v>0</v>
      </c>
      <c r="AB26" s="3">
        <f t="shared" si="7"/>
        <v>143.23076923076923</v>
      </c>
      <c r="AC26" s="3"/>
      <c r="AD26" s="82"/>
      <c r="AE26" s="257">
        <v>0</v>
      </c>
      <c r="AF26" s="1">
        <f t="shared" si="25"/>
        <v>20</v>
      </c>
      <c r="AG26" s="218">
        <f t="shared" si="26"/>
        <v>2</v>
      </c>
      <c r="AH26" s="1"/>
      <c r="AI26" s="246"/>
      <c r="AJ26" s="218">
        <f t="shared" si="27"/>
        <v>1</v>
      </c>
      <c r="AK26" s="1"/>
    </row>
    <row r="27" spans="1:37" x14ac:dyDescent="0.25">
      <c r="A27" s="10" t="s">
        <v>35</v>
      </c>
      <c r="B27" s="315">
        <v>10</v>
      </c>
      <c r="C27" s="284">
        <f>B27*$T$1*2</f>
        <v>400</v>
      </c>
      <c r="D27" s="236">
        <v>14</v>
      </c>
      <c r="E27" s="236">
        <v>10</v>
      </c>
      <c r="F27" s="236"/>
      <c r="G27" s="236"/>
      <c r="H27" s="236">
        <v>35</v>
      </c>
      <c r="I27" s="236"/>
      <c r="J27" s="236">
        <v>12</v>
      </c>
      <c r="K27" s="236">
        <v>3</v>
      </c>
      <c r="L27" s="236">
        <v>0</v>
      </c>
      <c r="M27" s="236">
        <v>3</v>
      </c>
      <c r="N27" s="236">
        <v>0</v>
      </c>
      <c r="O27" s="236"/>
      <c r="P27" s="237">
        <f>+IF(F27&gt;0,$D$1/I27,0)</f>
        <v>0</v>
      </c>
      <c r="Q27" s="3"/>
      <c r="R27" s="3">
        <f t="shared" si="21"/>
        <v>44</v>
      </c>
      <c r="S27" s="3">
        <f t="shared" si="22"/>
        <v>44</v>
      </c>
      <c r="T27" s="4">
        <f t="shared" si="23"/>
        <v>88</v>
      </c>
      <c r="U27" s="21">
        <f t="shared" si="24"/>
        <v>171600</v>
      </c>
      <c r="V27" s="246">
        <v>1</v>
      </c>
      <c r="W27" s="246">
        <v>1</v>
      </c>
      <c r="X27" s="3">
        <f t="shared" si="16"/>
        <v>37500</v>
      </c>
      <c r="Y27" s="246"/>
      <c r="Z27" s="246"/>
      <c r="AA27" s="3">
        <f t="shared" si="17"/>
        <v>0</v>
      </c>
      <c r="AB27" s="3">
        <f t="shared" si="7"/>
        <v>107.23076923076923</v>
      </c>
      <c r="AC27" s="3"/>
      <c r="AD27" s="82"/>
      <c r="AE27" s="257">
        <v>0</v>
      </c>
      <c r="AF27" s="1">
        <f t="shared" si="25"/>
        <v>0</v>
      </c>
      <c r="AG27" s="218">
        <f t="shared" si="26"/>
        <v>0</v>
      </c>
      <c r="AH27" s="1"/>
      <c r="AI27" s="246"/>
      <c r="AJ27" s="218">
        <f t="shared" si="27"/>
        <v>0</v>
      </c>
      <c r="AK27" s="1"/>
    </row>
    <row r="28" spans="1:37" x14ac:dyDescent="0.25">
      <c r="A28" s="10" t="s">
        <v>324</v>
      </c>
      <c r="B28" s="315">
        <v>10</v>
      </c>
      <c r="C28" s="284">
        <f>B28*$T$1*2</f>
        <v>400</v>
      </c>
      <c r="D28" s="236">
        <v>12</v>
      </c>
      <c r="E28" s="236">
        <v>10</v>
      </c>
      <c r="F28" s="236"/>
      <c r="G28" s="236"/>
      <c r="H28" s="236">
        <v>18</v>
      </c>
      <c r="I28" s="236"/>
      <c r="J28" s="236"/>
      <c r="K28" s="236">
        <v>3</v>
      </c>
      <c r="L28" s="236">
        <v>0</v>
      </c>
      <c r="M28" s="236">
        <v>3</v>
      </c>
      <c r="N28" s="236">
        <v>0</v>
      </c>
      <c r="O28" s="236"/>
      <c r="P28" s="237"/>
      <c r="Q28" s="3"/>
      <c r="R28" s="3">
        <f t="shared" si="21"/>
        <v>42</v>
      </c>
      <c r="S28" s="3">
        <f t="shared" si="22"/>
        <v>42</v>
      </c>
      <c r="T28" s="4">
        <f t="shared" si="23"/>
        <v>84</v>
      </c>
      <c r="U28" s="21">
        <f t="shared" si="24"/>
        <v>163800</v>
      </c>
      <c r="V28" s="246"/>
      <c r="W28" s="246"/>
      <c r="X28" s="3">
        <f t="shared" si="16"/>
        <v>0</v>
      </c>
      <c r="Y28" s="246"/>
      <c r="Z28" s="246"/>
      <c r="AA28" s="3">
        <f t="shared" si="17"/>
        <v>0</v>
      </c>
      <c r="AB28" s="3">
        <f t="shared" si="7"/>
        <v>84</v>
      </c>
      <c r="AC28" s="3"/>
      <c r="AD28" s="82"/>
      <c r="AE28" s="257">
        <v>0</v>
      </c>
      <c r="AF28" s="1">
        <f t="shared" si="25"/>
        <v>0</v>
      </c>
      <c r="AG28" s="218">
        <f t="shared" si="26"/>
        <v>0</v>
      </c>
      <c r="AH28" s="1"/>
      <c r="AI28" s="246"/>
      <c r="AJ28" s="218">
        <f t="shared" si="27"/>
        <v>0</v>
      </c>
      <c r="AK28" s="1"/>
    </row>
    <row r="29" spans="1:37" x14ac:dyDescent="0.25">
      <c r="A29" s="26" t="s">
        <v>341</v>
      </c>
      <c r="B29" s="315"/>
      <c r="C29" s="315"/>
      <c r="D29" s="236">
        <v>2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7"/>
      <c r="Q29" s="3"/>
      <c r="R29" s="3">
        <f t="shared" si="21"/>
        <v>2</v>
      </c>
      <c r="S29" s="3">
        <f t="shared" si="22"/>
        <v>2</v>
      </c>
      <c r="T29" s="4">
        <f t="shared" si="23"/>
        <v>4</v>
      </c>
      <c r="U29" s="21">
        <f t="shared" si="24"/>
        <v>7800</v>
      </c>
      <c r="V29" s="246"/>
      <c r="W29" s="246"/>
      <c r="X29" s="3">
        <f t="shared" si="16"/>
        <v>0</v>
      </c>
      <c r="Y29" s="246"/>
      <c r="Z29" s="246"/>
      <c r="AA29" s="3">
        <f t="shared" si="17"/>
        <v>0</v>
      </c>
      <c r="AB29" s="3">
        <f t="shared" si="7"/>
        <v>4</v>
      </c>
      <c r="AC29" s="3"/>
      <c r="AD29" s="82"/>
      <c r="AE29" s="257"/>
      <c r="AF29" s="1">
        <f t="shared" si="25"/>
        <v>0</v>
      </c>
      <c r="AG29" s="218">
        <f t="shared" si="26"/>
        <v>0</v>
      </c>
      <c r="AH29" s="1"/>
      <c r="AI29" s="246"/>
      <c r="AJ29" s="218">
        <f t="shared" si="27"/>
        <v>0</v>
      </c>
      <c r="AK29" s="1"/>
    </row>
    <row r="30" spans="1:37" x14ac:dyDescent="0.25">
      <c r="A30" s="10" t="s">
        <v>42</v>
      </c>
      <c r="B30" s="315"/>
      <c r="C30" s="315"/>
      <c r="D30" s="236">
        <v>10</v>
      </c>
      <c r="E30" s="236"/>
      <c r="F30" s="236"/>
      <c r="G30" s="236"/>
      <c r="H30" s="236"/>
      <c r="I30" s="236"/>
      <c r="J30" s="236">
        <v>12</v>
      </c>
      <c r="K30" s="236"/>
      <c r="L30" s="236"/>
      <c r="M30" s="236"/>
      <c r="N30" s="236"/>
      <c r="O30" s="236"/>
      <c r="P30" s="237">
        <f>+IF(F30&gt;0,$D$1/I30,0)</f>
        <v>0</v>
      </c>
      <c r="Q30" s="3"/>
      <c r="R30" s="3">
        <f t="shared" si="21"/>
        <v>10</v>
      </c>
      <c r="S30" s="3">
        <f t="shared" si="22"/>
        <v>10</v>
      </c>
      <c r="T30" s="4">
        <f t="shared" si="23"/>
        <v>20</v>
      </c>
      <c r="U30" s="21">
        <f t="shared" si="24"/>
        <v>39000</v>
      </c>
      <c r="V30" s="246"/>
      <c r="W30" s="246"/>
      <c r="X30" s="3">
        <f t="shared" si="16"/>
        <v>0</v>
      </c>
      <c r="Y30" s="246"/>
      <c r="Z30" s="246"/>
      <c r="AA30" s="3">
        <f t="shared" si="17"/>
        <v>0</v>
      </c>
      <c r="AB30" s="3">
        <f t="shared" si="7"/>
        <v>20</v>
      </c>
      <c r="AC30" s="3"/>
      <c r="AD30" s="82"/>
      <c r="AE30" s="257">
        <v>0</v>
      </c>
      <c r="AF30" s="1">
        <f t="shared" si="25"/>
        <v>0</v>
      </c>
      <c r="AG30" s="218">
        <f t="shared" si="26"/>
        <v>0</v>
      </c>
      <c r="AH30" s="1"/>
      <c r="AI30" s="246"/>
      <c r="AJ30" s="218">
        <f t="shared" si="27"/>
        <v>0</v>
      </c>
      <c r="AK30" s="1"/>
    </row>
    <row r="31" spans="1:37" x14ac:dyDescent="0.25">
      <c r="A31" s="10"/>
      <c r="B31" s="315"/>
      <c r="C31" s="3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8"/>
      <c r="Q31" s="3"/>
      <c r="R31" s="3"/>
      <c r="S31" s="3"/>
      <c r="T31" s="4"/>
      <c r="U31" s="21"/>
      <c r="V31" s="94"/>
      <c r="W31" s="94"/>
      <c r="X31" s="3"/>
      <c r="Y31" s="94"/>
      <c r="Z31" s="94"/>
      <c r="AA31" s="3"/>
      <c r="AB31" s="3"/>
      <c r="AC31" s="3"/>
      <c r="AD31" s="82"/>
      <c r="AE31" s="257">
        <v>10</v>
      </c>
      <c r="AF31" s="1">
        <f t="shared" ref="AF31" si="28">IF(AG31&gt;0,T29*(L30+N30)/(K30+M30),0)</f>
        <v>0</v>
      </c>
      <c r="AG31" s="218">
        <f t="shared" ref="AG31" si="29">N30+L30</f>
        <v>0</v>
      </c>
      <c r="AH31" s="1"/>
      <c r="AI31" s="246"/>
      <c r="AJ31" s="1"/>
      <c r="AK31" s="1"/>
    </row>
    <row r="32" spans="1:37" ht="45" x14ac:dyDescent="0.25">
      <c r="A32" s="24" t="s">
        <v>56</v>
      </c>
      <c r="B32" s="284"/>
      <c r="C32" s="284">
        <f>SUM(C8,C20,C26:C29)</f>
        <v>2800</v>
      </c>
      <c r="D32" s="67">
        <f>SUM(D10:D29)</f>
        <v>148</v>
      </c>
      <c r="E32" s="67">
        <f>SUM(E10:E29)</f>
        <v>105</v>
      </c>
      <c r="F32" s="67">
        <f>SUM(F10:F29)</f>
        <v>0</v>
      </c>
      <c r="G32" s="67">
        <f>SUM(G19:G29)</f>
        <v>0</v>
      </c>
      <c r="H32" s="67"/>
      <c r="I32" s="17"/>
      <c r="J32" s="97"/>
      <c r="K32" s="97"/>
      <c r="L32" s="97"/>
      <c r="M32" s="97"/>
      <c r="N32" s="97"/>
      <c r="O32" s="97"/>
      <c r="P32" s="97"/>
      <c r="Q32" s="2"/>
      <c r="R32" s="27">
        <f>SUM(R10:R18,R21:R30)</f>
        <v>824</v>
      </c>
      <c r="S32" s="27">
        <f>SUM(S10:S18,S21:S30)</f>
        <v>824</v>
      </c>
      <c r="T32" s="27">
        <f>SUM(T10:T18,T21:T30)</f>
        <v>1648</v>
      </c>
      <c r="U32" s="104">
        <f>SUM(U10:U29)</f>
        <v>3174600</v>
      </c>
      <c r="V32" s="97">
        <f>SUM(V10:V31)</f>
        <v>7</v>
      </c>
      <c r="W32" s="97">
        <f>SUM(W10:W31)</f>
        <v>7</v>
      </c>
      <c r="X32" s="99">
        <f>SUM(X10:X31)</f>
        <v>262500</v>
      </c>
      <c r="Y32" s="97"/>
      <c r="Z32" s="97"/>
      <c r="AA32" s="99">
        <f>SUM(AA10:AA31)</f>
        <v>112500</v>
      </c>
      <c r="AB32" s="27">
        <f>SUM(AB10:AB18,AB21:AB30)</f>
        <v>1840.3076923076924</v>
      </c>
      <c r="AC32" s="99">
        <f>U32+X32+AA32</f>
        <v>3549600</v>
      </c>
      <c r="AD32" s="271" t="s">
        <v>363</v>
      </c>
      <c r="AE32" s="2">
        <f>SUM(AE10:AE30)</f>
        <v>34</v>
      </c>
      <c r="AF32" s="2">
        <f>SUM(AF10:AF30)</f>
        <v>884</v>
      </c>
      <c r="AG32" s="68"/>
      <c r="AH32" s="2">
        <f>SUM(AH10:AH30)</f>
        <v>0</v>
      </c>
      <c r="AI32" s="94"/>
      <c r="AJ32" s="2">
        <f>AJ33/5</f>
        <v>175</v>
      </c>
      <c r="AK32" s="1"/>
    </row>
    <row r="33" spans="1:37" s="7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U33" s="5"/>
      <c r="V33"/>
      <c r="W33"/>
      <c r="X33"/>
      <c r="Y33"/>
      <c r="Z33"/>
      <c r="AA33"/>
      <c r="AB33"/>
      <c r="AC33"/>
      <c r="AD33" s="270" t="s">
        <v>362</v>
      </c>
      <c r="AE33" s="2">
        <f>SUM(AE10:AE30)*5</f>
        <v>170</v>
      </c>
      <c r="AF33" s="2">
        <f>SUM(AF10:AF30)*5</f>
        <v>4420</v>
      </c>
      <c r="AG33" s="4">
        <f>SUM(AG10:AG30)</f>
        <v>70</v>
      </c>
      <c r="AH33" s="2">
        <f>SUM(AH10:AH30)*5</f>
        <v>0</v>
      </c>
      <c r="AI33" s="2">
        <f>SUM(AI10:AI30)</f>
        <v>0</v>
      </c>
      <c r="AJ33" s="2">
        <f>X32/K2</f>
        <v>875</v>
      </c>
      <c r="AK33" s="2"/>
    </row>
    <row r="34" spans="1:37" ht="15.75" thickBot="1" x14ac:dyDescent="0.3">
      <c r="A34" s="54"/>
    </row>
    <row r="35" spans="1:37" ht="16.5" thickBot="1" x14ac:dyDescent="0.3">
      <c r="D35" s="343" t="s">
        <v>105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5"/>
      <c r="R35" s="133"/>
    </row>
    <row r="42" spans="1:37" x14ac:dyDescent="0.25">
      <c r="A42" s="18"/>
      <c r="B42" s="18"/>
      <c r="C42" s="18"/>
    </row>
  </sheetData>
  <sheetProtection selectLockedCells="1"/>
  <customSheetViews>
    <customSheetView guid="{749D43A3-052D-442F-AE88-F6CCB83A1282}" scale="90" fitToPage="1" hiddenColumns="1" topLeftCell="A5">
      <pane xSplit="1" topLeftCell="N1" activePane="topRight" state="frozen"/>
      <selection pane="topRight" activeCell="W15" sqref="W15"/>
      <pageMargins left="0.70866141732283472" right="0.70866141732283472" top="0.78740157480314965" bottom="0.78740157480314965" header="0.31496062992125984" footer="0.31496062992125984"/>
      <pageSetup paperSize="9" scale="88" orientation="landscape" r:id="rId1"/>
      <headerFooter>
        <oddHeader>&amp;C&amp;14 4. &amp;"-,Fet"studieår</oddHeader>
      </headerFooter>
    </customSheetView>
    <customSheetView guid="{E5349645-7714-4437-B9BC-26ED822E5BC5}" fitToPage="1" hiddenColumns="1">
      <pane xSplit="1" topLeftCell="Y1" activePane="topRight" state="frozen"/>
      <selection pane="topRight" activeCell="N27" sqref="N27"/>
      <pageMargins left="0.70866141732283472" right="0.70866141732283472" top="0.78740157480314965" bottom="0.78740157480314965" header="0.31496062992125984" footer="0.31496062992125984"/>
      <pageSetup paperSize="9" scale="88" orientation="landscape" r:id="rId2"/>
      <headerFooter>
        <oddHeader>&amp;C&amp;14 4. &amp;"-,Fet"studieår</oddHeader>
      </headerFooter>
    </customSheetView>
    <customSheetView guid="{F38A39FA-EF57-4062-A2AD-F3BEB88C5762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3"/>
      <headerFooter>
        <oddHeader>&amp;C&amp;14 4. &amp;"-,Fet"studieår</oddHeader>
      </headerFooter>
    </customSheetView>
    <customSheetView guid="{83C69039-3E29-46E1-85FB-B9165E0BFA91}" fitToPage="1" hiddenColumns="1">
      <selection activeCell="N12" sqref="N12"/>
      <pageMargins left="0.70866141732283472" right="0.70866141732283472" top="0.78740157480314965" bottom="0.78740157480314965" header="0.31496062992125984" footer="0.31496062992125984"/>
      <pageSetup paperSize="9" scale="47" orientation="landscape" r:id="rId4"/>
      <headerFooter>
        <oddHeader>&amp;C&amp;14 4. &amp;"-,Fet"studieår</oddHeader>
      </headerFooter>
    </customSheetView>
    <customSheetView guid="{C1FECEF4-D739-4F39-9B89-CF4C04A77A9B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5"/>
      <headerFooter>
        <oddHeader>&amp;C&amp;14 4. &amp;"-,Fet"studieår</oddHeader>
      </headerFooter>
    </customSheetView>
    <customSheetView guid="{1241DC17-BD41-46C5-9DB1-684763A09F24}" fitToPage="1" hiddenColumns="1">
      <selection activeCell="I18" sqref="I18"/>
      <pageMargins left="0.70866141732283472" right="0.70866141732283472" top="0.78740157480314965" bottom="0.78740157480314965" header="0.31496062992125984" footer="0.31496062992125984"/>
      <pageSetup paperSize="9" scale="47" orientation="landscape" r:id="rId6"/>
      <headerFooter>
        <oddHeader>&amp;C&amp;14 4. &amp;"-,Fet"studieår</oddHeader>
      </headerFooter>
    </customSheetView>
    <customSheetView guid="{91227156-ECBD-48FD-8964-78F3608400FC}" fitToPage="1" hiddenRows="1" hiddenColumns="1" topLeftCell="F9">
      <selection activeCell="S31" sqref="S31"/>
      <pageMargins left="0.70866141732283472" right="0.70866141732283472" top="0.78740157480314965" bottom="0.78740157480314965" header="0.31496062992125984" footer="0.31496062992125984"/>
      <pageSetup paperSize="9" scale="88" orientation="landscape" r:id="rId7"/>
      <headerFooter>
        <oddHeader>&amp;C&amp;14 4. &amp;"-,Fet"studieår</oddHeader>
      </headerFooter>
    </customSheetView>
    <customSheetView guid="{B76C0EA9-E79B-4DA2-9ADE-66DB47109F8F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8"/>
      <headerFooter>
        <oddHeader>&amp;C&amp;14 4. &amp;"-,Fet"studieår</oddHeader>
      </headerFooter>
    </customSheetView>
    <customSheetView guid="{726FF687-50E0-4F8A-BCCB-6DA9E6D367D4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9"/>
      <headerFooter>
        <oddHeader>&amp;C&amp;14 4. &amp;"-,Fet"studieår</oddHeader>
      </headerFooter>
    </customSheetView>
    <customSheetView guid="{BB9ED292-532F-438C-A4A6-F8D66D70E0E7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0"/>
      <headerFooter>
        <oddHeader>&amp;C&amp;14 4. &amp;"-,Fet"studieår</oddHeader>
      </headerFooter>
    </customSheetView>
    <customSheetView guid="{7AE955BB-7BF8-4CA4-ABF1-6A0BB53A48AD}" fitToPage="1" hiddenRows="1" hiddenColumns="1" topLeftCell="H1">
      <selection activeCell="AA13" sqref="AA13"/>
      <pageMargins left="0.70866141732283472" right="0.70866141732283472" top="0.78740157480314965" bottom="0.78740157480314965" header="0.31496062992125984" footer="0.31496062992125984"/>
      <pageSetup paperSize="9" scale="88" orientation="landscape" r:id="rId11"/>
      <headerFooter>
        <oddHeader>&amp;C&amp;14 4. &amp;"-,Fet"studieår</oddHeader>
      </headerFooter>
    </customSheetView>
    <customSheetView guid="{43EFFC0A-CCC0-43DD-A273-4AF58757EC00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12"/>
      <headerFooter>
        <oddHeader>&amp;C&amp;14 4. &amp;"-,Fet"studieår</oddHeader>
      </headerFooter>
    </customSheetView>
    <customSheetView guid="{1283C6B5-B05C-447B-8854-CDB081C03FD4}" scale="90" fitToPage="1" hiddenColumns="1">
      <pane xSplit="1" topLeftCell="D1" activePane="topRight" state="frozen"/>
      <selection pane="topRight" activeCell="AE31" sqref="AE31"/>
      <pageMargins left="0.70866141732283472" right="0.70866141732283472" top="0.78740157480314965" bottom="0.78740157480314965" header="0.31496062992125984" footer="0.31496062992125984"/>
      <pageSetup paperSize="9" scale="88" orientation="landscape" r:id="rId13"/>
      <headerFooter>
        <oddHeader>&amp;C&amp;14 4. &amp;"-,Fet"studieår</oddHeader>
      </headerFooter>
    </customSheetView>
    <customSheetView guid="{CB7E9FB3-C7A3-44DE-98E4-19C23B487785}" scale="90" fitToPage="1" hiddenColumns="1">
      <pane xSplit="1" topLeftCell="K1" activePane="topRight" state="frozen"/>
      <selection pane="topRight" activeCell="K1" sqref="K1"/>
      <pageMargins left="0.70866141732283472" right="0.70866141732283472" top="0.78740157480314965" bottom="0.78740157480314965" header="0.31496062992125984" footer="0.31496062992125984"/>
      <pageSetup paperSize="9" scale="88" orientation="landscape" r:id="rId14"/>
      <headerFooter>
        <oddHeader>&amp;C&amp;14 4. &amp;"-,Fet"studieår</oddHeader>
      </headerFooter>
    </customSheetView>
  </customSheetViews>
  <mergeCells count="5">
    <mergeCell ref="AE2:AK2"/>
    <mergeCell ref="D35:Q35"/>
    <mergeCell ref="AE5:AK5"/>
    <mergeCell ref="AF6:AG6"/>
    <mergeCell ref="AH6:AI6"/>
  </mergeCells>
  <pageMargins left="0.70866141732283472" right="0.70866141732283472" top="0.78740157480314965" bottom="0.78740157480314965" header="0.31496062992125984" footer="0.31496062992125984"/>
  <pageSetup paperSize="9" scale="33" orientation="landscape" r:id="rId15"/>
  <headerFooter>
    <oddHeader>&amp;C&amp;14 4. &amp;"-,Fet"studieår</oddHeader>
  </headerFooter>
  <legacy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40" workbookViewId="0">
      <selection activeCell="M17" sqref="M17"/>
    </sheetView>
  </sheetViews>
  <sheetFormatPr defaultColWidth="11.42578125" defaultRowHeight="15" x14ac:dyDescent="0.25"/>
  <cols>
    <col min="1" max="1" width="32.140625" style="112" bestFit="1" customWidth="1"/>
    <col min="2" max="2" width="9.140625" customWidth="1"/>
    <col min="3" max="3" width="14.42578125" customWidth="1"/>
    <col min="4" max="4" width="13.42578125" customWidth="1"/>
    <col min="5" max="5" width="11.7109375" customWidth="1"/>
    <col min="6" max="6" width="13.42578125" customWidth="1"/>
    <col min="7" max="7" width="15.42578125" customWidth="1"/>
    <col min="8" max="8" width="0.28515625" customWidth="1"/>
    <col min="9" max="9" width="11.7109375" customWidth="1"/>
    <col min="10" max="10" width="9.85546875" bestFit="1" customWidth="1"/>
    <col min="11" max="11" width="8.42578125" hidden="1" customWidth="1"/>
    <col min="12" max="256" width="9.140625" customWidth="1"/>
  </cols>
  <sheetData>
    <row r="1" spans="1:11" ht="15.75" x14ac:dyDescent="0.25">
      <c r="E1" s="119"/>
    </row>
    <row r="2" spans="1:11" ht="21" x14ac:dyDescent="0.35">
      <c r="A2" s="304" t="s">
        <v>295</v>
      </c>
      <c r="C2" s="258" t="s">
        <v>10</v>
      </c>
      <c r="D2" s="258">
        <v>1950</v>
      </c>
    </row>
    <row r="3" spans="1:11" x14ac:dyDescent="0.25">
      <c r="A3"/>
    </row>
    <row r="4" spans="1:11" ht="16.5" thickBot="1" x14ac:dyDescent="0.3">
      <c r="A4" s="110"/>
      <c r="B4" s="107"/>
      <c r="C4" s="108"/>
      <c r="D4" s="350" t="s">
        <v>243</v>
      </c>
      <c r="E4" s="351"/>
      <c r="F4" s="352"/>
      <c r="G4" s="109"/>
    </row>
    <row r="5" spans="1:11" ht="75" x14ac:dyDescent="0.25">
      <c r="A5" s="59" t="s">
        <v>1</v>
      </c>
      <c r="B5" s="314" t="s">
        <v>255</v>
      </c>
      <c r="C5" s="321" t="s">
        <v>229</v>
      </c>
      <c r="D5" s="117" t="s">
        <v>128</v>
      </c>
      <c r="E5" s="117" t="s">
        <v>129</v>
      </c>
      <c r="F5" s="66" t="s">
        <v>117</v>
      </c>
      <c r="G5" s="65" t="s">
        <v>143</v>
      </c>
      <c r="I5" s="118" t="s">
        <v>360</v>
      </c>
      <c r="J5" s="159" t="s">
        <v>70</v>
      </c>
      <c r="K5" s="159" t="s">
        <v>211</v>
      </c>
    </row>
    <row r="6" spans="1:11" x14ac:dyDescent="0.25">
      <c r="A6" s="111" t="s">
        <v>144</v>
      </c>
      <c r="B6" s="276">
        <v>10</v>
      </c>
      <c r="C6" s="276">
        <f>B6*4</f>
        <v>40</v>
      </c>
      <c r="D6" s="246">
        <v>20</v>
      </c>
      <c r="E6" s="251">
        <v>0</v>
      </c>
      <c r="F6" s="1">
        <f>SUM(D6:E6)</f>
        <v>20</v>
      </c>
      <c r="G6" s="3">
        <f>F6*$D$2</f>
        <v>39000</v>
      </c>
      <c r="I6" s="246"/>
      <c r="J6" s="1">
        <f>I6*$D$2</f>
        <v>0</v>
      </c>
      <c r="K6" s="1">
        <f>I6/5</f>
        <v>0</v>
      </c>
    </row>
    <row r="7" spans="1:11" x14ac:dyDescent="0.25">
      <c r="A7" s="111" t="s">
        <v>35</v>
      </c>
      <c r="B7" s="276">
        <v>10</v>
      </c>
      <c r="C7" s="276">
        <f>B7*4</f>
        <v>40</v>
      </c>
      <c r="D7" s="246">
        <v>0</v>
      </c>
      <c r="E7" s="246">
        <v>0</v>
      </c>
      <c r="F7" s="1">
        <f t="shared" ref="F7:F77" si="0">SUM(D7:E7)</f>
        <v>0</v>
      </c>
      <c r="G7" s="3">
        <f t="shared" ref="G7:G77" si="1">F7*$D$2</f>
        <v>0</v>
      </c>
      <c r="I7" s="246"/>
      <c r="J7" s="1">
        <f t="shared" ref="J7:J77" si="2">I7*$D$2</f>
        <v>0</v>
      </c>
      <c r="K7" s="1">
        <f t="shared" ref="K7:K77" si="3">I7/5</f>
        <v>0</v>
      </c>
    </row>
    <row r="8" spans="1:11" x14ac:dyDescent="0.25">
      <c r="A8" s="111" t="s">
        <v>145</v>
      </c>
      <c r="B8" s="276">
        <v>10</v>
      </c>
      <c r="C8" s="276">
        <f>B8*4</f>
        <v>40</v>
      </c>
      <c r="D8" s="246">
        <v>20</v>
      </c>
      <c r="E8" s="246">
        <v>20</v>
      </c>
      <c r="F8" s="1">
        <f t="shared" si="0"/>
        <v>40</v>
      </c>
      <c r="G8" s="3">
        <f t="shared" si="1"/>
        <v>78000</v>
      </c>
      <c r="I8" s="246"/>
      <c r="J8" s="1">
        <f t="shared" si="2"/>
        <v>0</v>
      </c>
      <c r="K8" s="1">
        <f t="shared" si="3"/>
        <v>0</v>
      </c>
    </row>
    <row r="9" spans="1:11" x14ac:dyDescent="0.25">
      <c r="A9" s="111" t="s">
        <v>146</v>
      </c>
      <c r="B9" s="276">
        <v>10</v>
      </c>
      <c r="C9" s="276">
        <f t="shared" ref="C9:C51" si="4">B9*2</f>
        <v>20</v>
      </c>
      <c r="D9" s="246">
        <v>22</v>
      </c>
      <c r="E9" s="246"/>
      <c r="F9" s="1">
        <f t="shared" si="0"/>
        <v>22</v>
      </c>
      <c r="G9" s="3">
        <f t="shared" si="1"/>
        <v>42900</v>
      </c>
      <c r="I9" s="246"/>
      <c r="J9" s="1">
        <f t="shared" si="2"/>
        <v>0</v>
      </c>
      <c r="K9" s="1">
        <f t="shared" si="3"/>
        <v>0</v>
      </c>
    </row>
    <row r="10" spans="1:11" x14ac:dyDescent="0.25">
      <c r="A10" s="111" t="s">
        <v>147</v>
      </c>
      <c r="B10" s="276">
        <v>10</v>
      </c>
      <c r="C10" s="276">
        <f t="shared" si="4"/>
        <v>20</v>
      </c>
      <c r="D10" s="246">
        <v>20</v>
      </c>
      <c r="E10" s="246"/>
      <c r="F10" s="1">
        <f t="shared" si="0"/>
        <v>20</v>
      </c>
      <c r="G10" s="3">
        <f t="shared" si="1"/>
        <v>39000</v>
      </c>
      <c r="I10" s="246"/>
      <c r="J10" s="1">
        <f t="shared" si="2"/>
        <v>0</v>
      </c>
      <c r="K10" s="1">
        <f t="shared" si="3"/>
        <v>0</v>
      </c>
    </row>
    <row r="11" spans="1:11" x14ac:dyDescent="0.25">
      <c r="A11" s="111" t="s">
        <v>148</v>
      </c>
      <c r="B11" s="276">
        <v>10</v>
      </c>
      <c r="C11" s="276">
        <f t="shared" si="4"/>
        <v>20</v>
      </c>
      <c r="D11" s="246">
        <v>20</v>
      </c>
      <c r="E11" s="246"/>
      <c r="F11" s="1">
        <f t="shared" si="0"/>
        <v>20</v>
      </c>
      <c r="G11" s="3">
        <f t="shared" si="1"/>
        <v>39000</v>
      </c>
      <c r="I11" s="246"/>
      <c r="J11" s="1">
        <f t="shared" si="2"/>
        <v>0</v>
      </c>
      <c r="K11" s="1">
        <f t="shared" si="3"/>
        <v>0</v>
      </c>
    </row>
    <row r="12" spans="1:11" x14ac:dyDescent="0.25">
      <c r="A12" s="111" t="s">
        <v>149</v>
      </c>
      <c r="B12" s="276">
        <v>10</v>
      </c>
      <c r="C12" s="276">
        <f t="shared" si="4"/>
        <v>20</v>
      </c>
      <c r="D12" s="246">
        <v>20</v>
      </c>
      <c r="E12" s="246"/>
      <c r="F12" s="1">
        <f t="shared" si="0"/>
        <v>20</v>
      </c>
      <c r="G12" s="3">
        <f t="shared" si="1"/>
        <v>39000</v>
      </c>
      <c r="I12" s="246"/>
      <c r="J12" s="1">
        <f t="shared" si="2"/>
        <v>0</v>
      </c>
      <c r="K12" s="1">
        <f t="shared" si="3"/>
        <v>0</v>
      </c>
    </row>
    <row r="13" spans="1:11" x14ac:dyDescent="0.25">
      <c r="A13" s="111" t="s">
        <v>150</v>
      </c>
      <c r="B13" s="306">
        <v>10</v>
      </c>
      <c r="C13" s="306">
        <f t="shared" si="4"/>
        <v>20</v>
      </c>
      <c r="D13" s="251">
        <v>20</v>
      </c>
      <c r="E13" s="251"/>
      <c r="F13" s="183">
        <f t="shared" si="0"/>
        <v>20</v>
      </c>
      <c r="G13" s="3">
        <f t="shared" si="1"/>
        <v>39000</v>
      </c>
      <c r="I13" s="246"/>
      <c r="J13" s="1">
        <f t="shared" si="2"/>
        <v>0</v>
      </c>
      <c r="K13" s="1">
        <f t="shared" si="3"/>
        <v>0</v>
      </c>
    </row>
    <row r="14" spans="1:11" x14ac:dyDescent="0.25">
      <c r="A14" s="111" t="s">
        <v>151</v>
      </c>
      <c r="B14" s="306">
        <v>10</v>
      </c>
      <c r="C14" s="306">
        <f t="shared" si="4"/>
        <v>20</v>
      </c>
      <c r="D14" s="251">
        <v>0</v>
      </c>
      <c r="E14" s="251"/>
      <c r="F14" s="183">
        <f t="shared" si="0"/>
        <v>0</v>
      </c>
      <c r="G14" s="3">
        <f t="shared" si="1"/>
        <v>0</v>
      </c>
      <c r="I14" s="246"/>
      <c r="J14" s="1">
        <f t="shared" si="2"/>
        <v>0</v>
      </c>
      <c r="K14" s="1">
        <f t="shared" si="3"/>
        <v>0</v>
      </c>
    </row>
    <row r="15" spans="1:11" x14ac:dyDescent="0.25">
      <c r="A15" s="111" t="s">
        <v>152</v>
      </c>
      <c r="B15" s="306">
        <v>10</v>
      </c>
      <c r="C15" s="306">
        <f t="shared" si="4"/>
        <v>20</v>
      </c>
      <c r="D15" s="251"/>
      <c r="E15" s="251"/>
      <c r="F15" s="183">
        <f t="shared" si="0"/>
        <v>0</v>
      </c>
      <c r="G15" s="3">
        <f t="shared" si="1"/>
        <v>0</v>
      </c>
      <c r="I15" s="246"/>
      <c r="J15" s="1">
        <f t="shared" si="2"/>
        <v>0</v>
      </c>
      <c r="K15" s="1">
        <f t="shared" si="3"/>
        <v>0</v>
      </c>
    </row>
    <row r="16" spans="1:11" x14ac:dyDescent="0.25">
      <c r="A16" s="111" t="s">
        <v>153</v>
      </c>
      <c r="B16" s="306">
        <v>10</v>
      </c>
      <c r="C16" s="306">
        <f t="shared" si="4"/>
        <v>20</v>
      </c>
      <c r="D16" s="251">
        <v>4</v>
      </c>
      <c r="E16" s="251"/>
      <c r="F16" s="183">
        <f t="shared" si="0"/>
        <v>4</v>
      </c>
      <c r="G16" s="3">
        <f t="shared" si="1"/>
        <v>7800</v>
      </c>
      <c r="I16" s="246"/>
      <c r="J16" s="1">
        <f t="shared" si="2"/>
        <v>0</v>
      </c>
      <c r="K16" s="1">
        <f t="shared" si="3"/>
        <v>0</v>
      </c>
    </row>
    <row r="17" spans="1:11" x14ac:dyDescent="0.25">
      <c r="A17" s="111" t="s">
        <v>154</v>
      </c>
      <c r="B17" s="306">
        <v>10</v>
      </c>
      <c r="C17" s="306">
        <f t="shared" si="4"/>
        <v>20</v>
      </c>
      <c r="D17" s="251"/>
      <c r="E17" s="251"/>
      <c r="F17" s="183">
        <f t="shared" si="0"/>
        <v>0</v>
      </c>
      <c r="G17" s="3">
        <f t="shared" si="1"/>
        <v>0</v>
      </c>
      <c r="I17" s="246"/>
      <c r="J17" s="1">
        <f t="shared" si="2"/>
        <v>0</v>
      </c>
      <c r="K17" s="1">
        <f t="shared" si="3"/>
        <v>0</v>
      </c>
    </row>
    <row r="18" spans="1:11" x14ac:dyDescent="0.25">
      <c r="A18" s="111" t="s">
        <v>155</v>
      </c>
      <c r="B18" s="306">
        <v>10</v>
      </c>
      <c r="C18" s="306">
        <f t="shared" si="4"/>
        <v>20</v>
      </c>
      <c r="D18" s="251"/>
      <c r="E18" s="251"/>
      <c r="F18" s="183">
        <f t="shared" si="0"/>
        <v>0</v>
      </c>
      <c r="G18" s="3">
        <f t="shared" si="1"/>
        <v>0</v>
      </c>
      <c r="I18" s="246"/>
      <c r="J18" s="1">
        <f t="shared" si="2"/>
        <v>0</v>
      </c>
      <c r="K18" s="1">
        <f t="shared" si="3"/>
        <v>0</v>
      </c>
    </row>
    <row r="19" spans="1:11" x14ac:dyDescent="0.25">
      <c r="A19" s="111" t="s">
        <v>156</v>
      </c>
      <c r="B19" s="306">
        <v>10</v>
      </c>
      <c r="C19" s="306">
        <f t="shared" si="4"/>
        <v>20</v>
      </c>
      <c r="D19" s="251"/>
      <c r="E19" s="251"/>
      <c r="F19" s="183">
        <f t="shared" si="0"/>
        <v>0</v>
      </c>
      <c r="G19" s="3">
        <f t="shared" si="1"/>
        <v>0</v>
      </c>
      <c r="I19" s="246"/>
      <c r="J19" s="1">
        <f t="shared" si="2"/>
        <v>0</v>
      </c>
      <c r="K19" s="1">
        <f t="shared" si="3"/>
        <v>0</v>
      </c>
    </row>
    <row r="20" spans="1:11" x14ac:dyDescent="0.25">
      <c r="A20" s="111" t="s">
        <v>157</v>
      </c>
      <c r="B20" s="306">
        <v>10</v>
      </c>
      <c r="C20" s="306">
        <f t="shared" si="4"/>
        <v>20</v>
      </c>
      <c r="D20" s="251"/>
      <c r="E20" s="251"/>
      <c r="F20" s="183">
        <f t="shared" si="0"/>
        <v>0</v>
      </c>
      <c r="G20" s="3">
        <f t="shared" si="1"/>
        <v>0</v>
      </c>
      <c r="I20" s="246"/>
      <c r="J20" s="1">
        <f t="shared" si="2"/>
        <v>0</v>
      </c>
      <c r="K20" s="1">
        <f t="shared" si="3"/>
        <v>0</v>
      </c>
    </row>
    <row r="21" spans="1:11" x14ac:dyDescent="0.25">
      <c r="A21" s="111" t="s">
        <v>158</v>
      </c>
      <c r="B21" s="306">
        <v>10</v>
      </c>
      <c r="C21" s="306">
        <f t="shared" si="4"/>
        <v>20</v>
      </c>
      <c r="D21" s="251"/>
      <c r="E21" s="251"/>
      <c r="F21" s="183">
        <f t="shared" si="0"/>
        <v>0</v>
      </c>
      <c r="G21" s="3">
        <f t="shared" si="1"/>
        <v>0</v>
      </c>
      <c r="I21" s="246"/>
      <c r="J21" s="1">
        <f t="shared" si="2"/>
        <v>0</v>
      </c>
      <c r="K21" s="1">
        <f t="shared" si="3"/>
        <v>0</v>
      </c>
    </row>
    <row r="22" spans="1:11" x14ac:dyDescent="0.25">
      <c r="A22" s="111" t="s">
        <v>159</v>
      </c>
      <c r="B22" s="306">
        <v>10</v>
      </c>
      <c r="C22" s="306">
        <f t="shared" si="4"/>
        <v>20</v>
      </c>
      <c r="D22" s="251">
        <v>20</v>
      </c>
      <c r="E22" s="251"/>
      <c r="F22" s="183">
        <f t="shared" si="0"/>
        <v>20</v>
      </c>
      <c r="G22" s="3">
        <f t="shared" si="1"/>
        <v>39000</v>
      </c>
      <c r="I22" s="246"/>
      <c r="J22" s="1">
        <f t="shared" si="2"/>
        <v>0</v>
      </c>
      <c r="K22" s="1">
        <f t="shared" si="3"/>
        <v>0</v>
      </c>
    </row>
    <row r="23" spans="1:11" x14ac:dyDescent="0.25">
      <c r="A23" s="111" t="s">
        <v>160</v>
      </c>
      <c r="B23" s="306">
        <v>10</v>
      </c>
      <c r="C23" s="306">
        <f t="shared" si="4"/>
        <v>20</v>
      </c>
      <c r="D23" s="251">
        <v>20</v>
      </c>
      <c r="E23" s="251"/>
      <c r="F23" s="183">
        <f t="shared" si="0"/>
        <v>20</v>
      </c>
      <c r="G23" s="3">
        <f t="shared" si="1"/>
        <v>39000</v>
      </c>
      <c r="I23" s="246"/>
      <c r="J23" s="1">
        <f t="shared" si="2"/>
        <v>0</v>
      </c>
      <c r="K23" s="1">
        <f t="shared" si="3"/>
        <v>0</v>
      </c>
    </row>
    <row r="24" spans="1:11" x14ac:dyDescent="0.25">
      <c r="A24" s="111" t="s">
        <v>161</v>
      </c>
      <c r="B24" s="306">
        <v>10</v>
      </c>
      <c r="C24" s="306">
        <f t="shared" si="4"/>
        <v>20</v>
      </c>
      <c r="D24" s="251">
        <v>22</v>
      </c>
      <c r="E24" s="251"/>
      <c r="F24" s="183">
        <f t="shared" si="0"/>
        <v>22</v>
      </c>
      <c r="G24" s="3">
        <f t="shared" si="1"/>
        <v>42900</v>
      </c>
      <c r="I24" s="246"/>
      <c r="J24" s="1">
        <f t="shared" si="2"/>
        <v>0</v>
      </c>
      <c r="K24" s="1">
        <f t="shared" si="3"/>
        <v>0</v>
      </c>
    </row>
    <row r="25" spans="1:11" x14ac:dyDescent="0.25">
      <c r="A25" s="111" t="s">
        <v>234</v>
      </c>
      <c r="B25" s="306">
        <v>10</v>
      </c>
      <c r="C25" s="306">
        <f t="shared" si="4"/>
        <v>20</v>
      </c>
      <c r="D25" s="251">
        <v>4</v>
      </c>
      <c r="E25" s="251"/>
      <c r="F25" s="183">
        <f t="shared" si="0"/>
        <v>4</v>
      </c>
      <c r="G25" s="3">
        <f t="shared" si="1"/>
        <v>7800</v>
      </c>
      <c r="I25" s="246"/>
      <c r="J25" s="1">
        <f t="shared" si="2"/>
        <v>0</v>
      </c>
      <c r="K25" s="1">
        <f t="shared" si="3"/>
        <v>0</v>
      </c>
    </row>
    <row r="26" spans="1:11" x14ac:dyDescent="0.25">
      <c r="A26" s="111" t="s">
        <v>162</v>
      </c>
      <c r="B26" s="306">
        <v>10</v>
      </c>
      <c r="C26" s="306">
        <f t="shared" si="4"/>
        <v>20</v>
      </c>
      <c r="D26" s="251">
        <v>20</v>
      </c>
      <c r="E26" s="251"/>
      <c r="F26" s="183">
        <f t="shared" si="0"/>
        <v>20</v>
      </c>
      <c r="G26" s="3">
        <f t="shared" si="1"/>
        <v>39000</v>
      </c>
      <c r="I26" s="246"/>
      <c r="J26" s="1">
        <f t="shared" si="2"/>
        <v>0</v>
      </c>
      <c r="K26" s="1">
        <f t="shared" si="3"/>
        <v>0</v>
      </c>
    </row>
    <row r="27" spans="1:11" x14ac:dyDescent="0.25">
      <c r="A27" s="111" t="s">
        <v>163</v>
      </c>
      <c r="B27" s="306">
        <v>10</v>
      </c>
      <c r="C27" s="306">
        <f t="shared" si="4"/>
        <v>20</v>
      </c>
      <c r="D27" s="251">
        <v>20</v>
      </c>
      <c r="E27" s="251"/>
      <c r="F27" s="183">
        <f t="shared" si="0"/>
        <v>20</v>
      </c>
      <c r="G27" s="3">
        <f t="shared" si="1"/>
        <v>39000</v>
      </c>
      <c r="I27" s="246"/>
      <c r="J27" s="1">
        <f t="shared" si="2"/>
        <v>0</v>
      </c>
      <c r="K27" s="1">
        <f t="shared" si="3"/>
        <v>0</v>
      </c>
    </row>
    <row r="28" spans="1:11" x14ac:dyDescent="0.25">
      <c r="A28" s="111" t="s">
        <v>164</v>
      </c>
      <c r="B28" s="306">
        <v>10</v>
      </c>
      <c r="C28" s="306">
        <f t="shared" si="4"/>
        <v>20</v>
      </c>
      <c r="D28" s="251">
        <v>20</v>
      </c>
      <c r="E28" s="251">
        <v>20</v>
      </c>
      <c r="F28" s="183">
        <f t="shared" si="0"/>
        <v>40</v>
      </c>
      <c r="G28" s="3">
        <f t="shared" si="1"/>
        <v>78000</v>
      </c>
      <c r="I28" s="246"/>
      <c r="J28" s="1">
        <f t="shared" si="2"/>
        <v>0</v>
      </c>
      <c r="K28" s="1">
        <f t="shared" si="3"/>
        <v>0</v>
      </c>
    </row>
    <row r="29" spans="1:11" ht="18.75" customHeight="1" x14ac:dyDescent="0.25">
      <c r="A29" s="111" t="s">
        <v>165</v>
      </c>
      <c r="B29" s="306">
        <v>10</v>
      </c>
      <c r="C29" s="306">
        <f t="shared" si="4"/>
        <v>20</v>
      </c>
      <c r="D29" s="251">
        <v>20</v>
      </c>
      <c r="E29" s="251"/>
      <c r="F29" s="183">
        <f t="shared" si="0"/>
        <v>20</v>
      </c>
      <c r="G29" s="3">
        <f t="shared" si="1"/>
        <v>39000</v>
      </c>
      <c r="I29" s="246"/>
      <c r="J29" s="1">
        <f t="shared" si="2"/>
        <v>0</v>
      </c>
      <c r="K29" s="1">
        <f t="shared" si="3"/>
        <v>0</v>
      </c>
    </row>
    <row r="30" spans="1:11" x14ac:dyDescent="0.25">
      <c r="A30" s="111" t="s">
        <v>166</v>
      </c>
      <c r="B30" s="306">
        <v>10</v>
      </c>
      <c r="C30" s="306">
        <f t="shared" si="4"/>
        <v>20</v>
      </c>
      <c r="D30" s="251"/>
      <c r="E30" s="251">
        <v>20</v>
      </c>
      <c r="F30" s="183">
        <f t="shared" si="0"/>
        <v>20</v>
      </c>
      <c r="G30" s="3">
        <f t="shared" si="1"/>
        <v>39000</v>
      </c>
      <c r="I30" s="246"/>
      <c r="J30" s="1">
        <f t="shared" si="2"/>
        <v>0</v>
      </c>
      <c r="K30" s="1">
        <f t="shared" si="3"/>
        <v>0</v>
      </c>
    </row>
    <row r="31" spans="1:11" x14ac:dyDescent="0.25">
      <c r="A31" s="111" t="s">
        <v>167</v>
      </c>
      <c r="B31" s="306">
        <v>10</v>
      </c>
      <c r="C31" s="306">
        <f t="shared" si="4"/>
        <v>20</v>
      </c>
      <c r="D31" s="251">
        <v>0</v>
      </c>
      <c r="E31" s="251"/>
      <c r="F31" s="183">
        <f t="shared" si="0"/>
        <v>0</v>
      </c>
      <c r="G31" s="3">
        <f t="shared" si="1"/>
        <v>0</v>
      </c>
      <c r="I31" s="246"/>
      <c r="J31" s="1">
        <f t="shared" si="2"/>
        <v>0</v>
      </c>
      <c r="K31" s="1">
        <f t="shared" si="3"/>
        <v>0</v>
      </c>
    </row>
    <row r="32" spans="1:11" ht="19.5" customHeight="1" x14ac:dyDescent="0.25">
      <c r="A32" s="111" t="s">
        <v>168</v>
      </c>
      <c r="B32" s="306">
        <v>10</v>
      </c>
      <c r="C32" s="306">
        <f t="shared" si="4"/>
        <v>20</v>
      </c>
      <c r="D32" s="251"/>
      <c r="E32" s="251">
        <v>20</v>
      </c>
      <c r="F32" s="183">
        <f t="shared" si="0"/>
        <v>20</v>
      </c>
      <c r="G32" s="3">
        <f t="shared" si="1"/>
        <v>39000</v>
      </c>
      <c r="I32" s="246"/>
      <c r="J32" s="1">
        <f t="shared" si="2"/>
        <v>0</v>
      </c>
      <c r="K32" s="1">
        <f t="shared" si="3"/>
        <v>0</v>
      </c>
    </row>
    <row r="33" spans="1:11" x14ac:dyDescent="0.25">
      <c r="A33" s="111" t="s">
        <v>169</v>
      </c>
      <c r="B33" s="306">
        <v>10</v>
      </c>
      <c r="C33" s="306">
        <f t="shared" si="4"/>
        <v>20</v>
      </c>
      <c r="D33" s="251"/>
      <c r="E33" s="251">
        <v>20</v>
      </c>
      <c r="F33" s="183">
        <f t="shared" si="0"/>
        <v>20</v>
      </c>
      <c r="G33" s="3">
        <f t="shared" si="1"/>
        <v>39000</v>
      </c>
      <c r="I33" s="246"/>
      <c r="J33" s="1">
        <f t="shared" si="2"/>
        <v>0</v>
      </c>
      <c r="K33" s="1">
        <f t="shared" si="3"/>
        <v>0</v>
      </c>
    </row>
    <row r="34" spans="1:11" x14ac:dyDescent="0.25">
      <c r="A34" s="111" t="s">
        <v>170</v>
      </c>
      <c r="B34" s="306">
        <v>10</v>
      </c>
      <c r="C34" s="306">
        <f t="shared" si="4"/>
        <v>20</v>
      </c>
      <c r="D34" s="251"/>
      <c r="E34" s="251"/>
      <c r="F34" s="183">
        <f t="shared" si="0"/>
        <v>0</v>
      </c>
      <c r="G34" s="3">
        <f t="shared" si="1"/>
        <v>0</v>
      </c>
      <c r="I34" s="246"/>
      <c r="J34" s="1">
        <f t="shared" si="2"/>
        <v>0</v>
      </c>
      <c r="K34" s="1">
        <f t="shared" si="3"/>
        <v>0</v>
      </c>
    </row>
    <row r="35" spans="1:11" x14ac:dyDescent="0.25">
      <c r="A35" s="111" t="s">
        <v>171</v>
      </c>
      <c r="B35" s="306">
        <v>10</v>
      </c>
      <c r="C35" s="306">
        <f t="shared" si="4"/>
        <v>20</v>
      </c>
      <c r="D35" s="251"/>
      <c r="E35" s="251"/>
      <c r="F35" s="183">
        <f t="shared" si="0"/>
        <v>0</v>
      </c>
      <c r="G35" s="3">
        <f t="shared" si="1"/>
        <v>0</v>
      </c>
      <c r="I35" s="246"/>
      <c r="J35" s="1">
        <f t="shared" si="2"/>
        <v>0</v>
      </c>
      <c r="K35" s="1">
        <f t="shared" si="3"/>
        <v>0</v>
      </c>
    </row>
    <row r="36" spans="1:11" x14ac:dyDescent="0.25">
      <c r="A36" s="111" t="s">
        <v>172</v>
      </c>
      <c r="B36" s="306">
        <v>10</v>
      </c>
      <c r="C36" s="306">
        <f t="shared" si="4"/>
        <v>20</v>
      </c>
      <c r="D36" s="251"/>
      <c r="E36" s="251">
        <v>24</v>
      </c>
      <c r="F36" s="183">
        <f t="shared" si="0"/>
        <v>24</v>
      </c>
      <c r="G36" s="3">
        <f t="shared" si="1"/>
        <v>46800</v>
      </c>
      <c r="I36" s="246"/>
      <c r="J36" s="1">
        <f t="shared" si="2"/>
        <v>0</v>
      </c>
      <c r="K36" s="1">
        <f t="shared" si="3"/>
        <v>0</v>
      </c>
    </row>
    <row r="37" spans="1:11" x14ac:dyDescent="0.25">
      <c r="A37" s="111" t="s">
        <v>173</v>
      </c>
      <c r="B37" s="306">
        <v>10</v>
      </c>
      <c r="C37" s="306">
        <f t="shared" si="4"/>
        <v>20</v>
      </c>
      <c r="D37" s="251"/>
      <c r="E37" s="251">
        <v>20</v>
      </c>
      <c r="F37" s="183">
        <f t="shared" si="0"/>
        <v>20</v>
      </c>
      <c r="G37" s="3">
        <f t="shared" si="1"/>
        <v>39000</v>
      </c>
      <c r="I37" s="246"/>
      <c r="J37" s="1">
        <f t="shared" si="2"/>
        <v>0</v>
      </c>
      <c r="K37" s="1">
        <f t="shared" si="3"/>
        <v>0</v>
      </c>
    </row>
    <row r="38" spans="1:11" x14ac:dyDescent="0.25">
      <c r="A38" s="111" t="s">
        <v>290</v>
      </c>
      <c r="B38" s="306">
        <v>10</v>
      </c>
      <c r="C38" s="306">
        <f>B38*2</f>
        <v>20</v>
      </c>
      <c r="D38" s="251"/>
      <c r="E38" s="251">
        <v>20</v>
      </c>
      <c r="F38" s="183">
        <f>SUM(D38:E38)</f>
        <v>20</v>
      </c>
      <c r="G38" s="3">
        <f>F38*$D$2</f>
        <v>39000</v>
      </c>
      <c r="I38" s="246"/>
      <c r="J38" s="1"/>
      <c r="K38" s="1"/>
    </row>
    <row r="39" spans="1:11" x14ac:dyDescent="0.25">
      <c r="A39" s="111" t="s">
        <v>174</v>
      </c>
      <c r="B39" s="306">
        <v>10</v>
      </c>
      <c r="C39" s="306">
        <f t="shared" si="4"/>
        <v>20</v>
      </c>
      <c r="D39" s="251"/>
      <c r="E39" s="251">
        <v>20</v>
      </c>
      <c r="F39" s="183">
        <f t="shared" si="0"/>
        <v>20</v>
      </c>
      <c r="G39" s="3">
        <f t="shared" si="1"/>
        <v>39000</v>
      </c>
      <c r="I39" s="246"/>
      <c r="J39" s="1">
        <f t="shared" si="2"/>
        <v>0</v>
      </c>
      <c r="K39" s="1">
        <f t="shared" si="3"/>
        <v>0</v>
      </c>
    </row>
    <row r="40" spans="1:11" x14ac:dyDescent="0.25">
      <c r="A40" s="111" t="s">
        <v>235</v>
      </c>
      <c r="B40" s="306">
        <v>10</v>
      </c>
      <c r="C40" s="306">
        <f t="shared" si="4"/>
        <v>20</v>
      </c>
      <c r="D40" s="251">
        <v>0</v>
      </c>
      <c r="E40" s="251">
        <v>0</v>
      </c>
      <c r="F40" s="183">
        <f t="shared" si="0"/>
        <v>0</v>
      </c>
      <c r="G40" s="3">
        <f t="shared" si="1"/>
        <v>0</v>
      </c>
      <c r="I40" s="246"/>
      <c r="J40" s="1">
        <f t="shared" si="2"/>
        <v>0</v>
      </c>
      <c r="K40" s="1">
        <f t="shared" si="3"/>
        <v>0</v>
      </c>
    </row>
    <row r="41" spans="1:11" x14ac:dyDescent="0.25">
      <c r="A41" s="111" t="s">
        <v>175</v>
      </c>
      <c r="B41" s="306">
        <v>10</v>
      </c>
      <c r="C41" s="306">
        <f t="shared" si="4"/>
        <v>20</v>
      </c>
      <c r="D41" s="251"/>
      <c r="E41" s="251">
        <v>20</v>
      </c>
      <c r="F41" s="183">
        <f t="shared" si="0"/>
        <v>20</v>
      </c>
      <c r="G41" s="3">
        <f t="shared" si="1"/>
        <v>39000</v>
      </c>
      <c r="I41" s="246"/>
      <c r="J41" s="1">
        <f t="shared" si="2"/>
        <v>0</v>
      </c>
      <c r="K41" s="1">
        <f t="shared" si="3"/>
        <v>0</v>
      </c>
    </row>
    <row r="42" spans="1:11" x14ac:dyDescent="0.25">
      <c r="A42" s="111" t="s">
        <v>176</v>
      </c>
      <c r="B42" s="306">
        <v>10</v>
      </c>
      <c r="C42" s="306">
        <f t="shared" si="4"/>
        <v>20</v>
      </c>
      <c r="D42" s="251"/>
      <c r="E42" s="251">
        <v>20</v>
      </c>
      <c r="F42" s="183">
        <f t="shared" si="0"/>
        <v>20</v>
      </c>
      <c r="G42" s="3">
        <f t="shared" si="1"/>
        <v>39000</v>
      </c>
      <c r="I42" s="246"/>
      <c r="J42" s="1">
        <f t="shared" si="2"/>
        <v>0</v>
      </c>
      <c r="K42" s="1">
        <f t="shared" si="3"/>
        <v>0</v>
      </c>
    </row>
    <row r="43" spans="1:11" x14ac:dyDescent="0.25">
      <c r="A43" s="111" t="s">
        <v>289</v>
      </c>
      <c r="B43" s="306">
        <v>10</v>
      </c>
      <c r="C43" s="306">
        <f>B43*2</f>
        <v>20</v>
      </c>
      <c r="D43" s="251"/>
      <c r="E43" s="251">
        <v>20</v>
      </c>
      <c r="F43" s="183">
        <f>SUM(D43:E43)</f>
        <v>20</v>
      </c>
      <c r="G43" s="3">
        <f>F43*$D$2</f>
        <v>39000</v>
      </c>
      <c r="I43" s="246"/>
      <c r="J43" s="1"/>
      <c r="K43" s="1"/>
    </row>
    <row r="44" spans="1:11" x14ac:dyDescent="0.25">
      <c r="A44" s="111" t="s">
        <v>177</v>
      </c>
      <c r="B44" s="306">
        <v>10</v>
      </c>
      <c r="C44" s="306">
        <f t="shared" si="4"/>
        <v>20</v>
      </c>
      <c r="D44" s="251"/>
      <c r="E44" s="251">
        <v>20</v>
      </c>
      <c r="F44" s="183">
        <f t="shared" si="0"/>
        <v>20</v>
      </c>
      <c r="G44" s="3">
        <f t="shared" si="1"/>
        <v>39000</v>
      </c>
      <c r="I44" s="246"/>
      <c r="J44" s="1">
        <f t="shared" si="2"/>
        <v>0</v>
      </c>
      <c r="K44" s="1">
        <f t="shared" si="3"/>
        <v>0</v>
      </c>
    </row>
    <row r="45" spans="1:11" x14ac:dyDescent="0.25">
      <c r="A45" s="111" t="s">
        <v>34</v>
      </c>
      <c r="B45" s="306">
        <v>10</v>
      </c>
      <c r="C45" s="306">
        <f t="shared" si="4"/>
        <v>20</v>
      </c>
      <c r="D45" s="251"/>
      <c r="E45" s="251"/>
      <c r="F45" s="183">
        <f t="shared" si="0"/>
        <v>0</v>
      </c>
      <c r="G45" s="3">
        <f t="shared" si="1"/>
        <v>0</v>
      </c>
      <c r="I45" s="246"/>
      <c r="J45" s="1">
        <f t="shared" si="2"/>
        <v>0</v>
      </c>
      <c r="K45" s="1">
        <f t="shared" si="3"/>
        <v>0</v>
      </c>
    </row>
    <row r="46" spans="1:11" x14ac:dyDescent="0.25">
      <c r="A46" s="111" t="s">
        <v>178</v>
      </c>
      <c r="B46" s="306">
        <v>10</v>
      </c>
      <c r="C46" s="306">
        <f t="shared" si="4"/>
        <v>20</v>
      </c>
      <c r="D46" s="251"/>
      <c r="E46" s="251">
        <v>4</v>
      </c>
      <c r="F46" s="183">
        <f t="shared" si="0"/>
        <v>4</v>
      </c>
      <c r="G46" s="3">
        <f t="shared" si="1"/>
        <v>7800</v>
      </c>
      <c r="I46" s="246"/>
      <c r="J46" s="1">
        <f t="shared" si="2"/>
        <v>0</v>
      </c>
      <c r="K46" s="1">
        <f t="shared" si="3"/>
        <v>0</v>
      </c>
    </row>
    <row r="47" spans="1:11" x14ac:dyDescent="0.25">
      <c r="A47" s="111" t="s">
        <v>179</v>
      </c>
      <c r="B47" s="306">
        <v>10</v>
      </c>
      <c r="C47" s="306">
        <f t="shared" si="4"/>
        <v>20</v>
      </c>
      <c r="D47" s="251"/>
      <c r="E47" s="251">
        <v>20</v>
      </c>
      <c r="F47" s="183">
        <f t="shared" si="0"/>
        <v>20</v>
      </c>
      <c r="G47" s="3">
        <f t="shared" si="1"/>
        <v>39000</v>
      </c>
      <c r="I47" s="246"/>
      <c r="J47" s="1">
        <f t="shared" si="2"/>
        <v>0</v>
      </c>
      <c r="K47" s="1">
        <f t="shared" si="3"/>
        <v>0</v>
      </c>
    </row>
    <row r="48" spans="1:11" ht="30" x14ac:dyDescent="0.25">
      <c r="A48" s="111" t="s">
        <v>180</v>
      </c>
      <c r="B48" s="306">
        <v>10</v>
      </c>
      <c r="C48" s="306">
        <f t="shared" si="4"/>
        <v>20</v>
      </c>
      <c r="D48" s="251"/>
      <c r="E48" s="251">
        <v>0</v>
      </c>
      <c r="F48" s="183">
        <f t="shared" si="0"/>
        <v>0</v>
      </c>
      <c r="G48" s="3">
        <f t="shared" si="1"/>
        <v>0</v>
      </c>
      <c r="I48" s="246"/>
      <c r="J48" s="1">
        <f t="shared" si="2"/>
        <v>0</v>
      </c>
      <c r="K48" s="1">
        <f t="shared" si="3"/>
        <v>0</v>
      </c>
    </row>
    <row r="49" spans="1:11" x14ac:dyDescent="0.25">
      <c r="A49" s="111" t="s">
        <v>181</v>
      </c>
      <c r="B49" s="306">
        <v>10</v>
      </c>
      <c r="C49" s="306">
        <f t="shared" si="4"/>
        <v>20</v>
      </c>
      <c r="D49" s="251"/>
      <c r="E49" s="251">
        <v>22</v>
      </c>
      <c r="F49" s="183">
        <f t="shared" si="0"/>
        <v>22</v>
      </c>
      <c r="G49" s="3">
        <f t="shared" si="1"/>
        <v>42900</v>
      </c>
      <c r="I49" s="246"/>
      <c r="J49" s="1">
        <f t="shared" si="2"/>
        <v>0</v>
      </c>
      <c r="K49" s="1">
        <f t="shared" si="3"/>
        <v>0</v>
      </c>
    </row>
    <row r="50" spans="1:11" x14ac:dyDescent="0.25">
      <c r="A50" s="111" t="s">
        <v>144</v>
      </c>
      <c r="B50" s="306">
        <v>10</v>
      </c>
      <c r="C50" s="306">
        <f t="shared" si="4"/>
        <v>20</v>
      </c>
      <c r="D50" s="251">
        <v>20</v>
      </c>
      <c r="E50" s="251">
        <v>0</v>
      </c>
      <c r="F50" s="183">
        <f t="shared" si="0"/>
        <v>20</v>
      </c>
      <c r="G50" s="3">
        <f t="shared" si="1"/>
        <v>39000</v>
      </c>
      <c r="I50" s="246"/>
      <c r="J50" s="1">
        <f t="shared" si="2"/>
        <v>0</v>
      </c>
      <c r="K50" s="1">
        <f t="shared" si="3"/>
        <v>0</v>
      </c>
    </row>
    <row r="51" spans="1:11" x14ac:dyDescent="0.25">
      <c r="A51" s="111" t="s">
        <v>164</v>
      </c>
      <c r="B51" s="306">
        <v>10</v>
      </c>
      <c r="C51" s="306">
        <f t="shared" si="4"/>
        <v>20</v>
      </c>
      <c r="D51" s="251"/>
      <c r="E51" s="251">
        <v>20</v>
      </c>
      <c r="F51" s="183">
        <f t="shared" si="0"/>
        <v>20</v>
      </c>
      <c r="G51" s="3">
        <f t="shared" si="1"/>
        <v>39000</v>
      </c>
      <c r="I51" s="246"/>
      <c r="J51" s="1">
        <f t="shared" si="2"/>
        <v>0</v>
      </c>
      <c r="K51" s="1">
        <f t="shared" si="3"/>
        <v>0</v>
      </c>
    </row>
    <row r="52" spans="1:11" x14ac:dyDescent="0.25">
      <c r="A52" s="111" t="s">
        <v>354</v>
      </c>
      <c r="B52" s="306">
        <v>10</v>
      </c>
      <c r="C52" s="306">
        <f t="shared" ref="C52:C55" si="5">B52*2</f>
        <v>20</v>
      </c>
      <c r="D52" s="251">
        <v>20</v>
      </c>
      <c r="E52" s="251"/>
      <c r="F52" s="183">
        <f t="shared" ref="F52:F55" si="6">SUM(D52:E52)</f>
        <v>20</v>
      </c>
      <c r="G52" s="3">
        <f t="shared" ref="G52:G55" si="7">F52*$D$2</f>
        <v>39000</v>
      </c>
      <c r="I52" s="246"/>
      <c r="J52" s="1">
        <f t="shared" ref="J52:J55" si="8">I52*$D$2</f>
        <v>0</v>
      </c>
      <c r="K52" s="1">
        <f t="shared" ref="K52:K55" si="9">I52/5</f>
        <v>0</v>
      </c>
    </row>
    <row r="53" spans="1:11" x14ac:dyDescent="0.25">
      <c r="A53" s="111" t="s">
        <v>355</v>
      </c>
      <c r="B53" s="306">
        <v>10</v>
      </c>
      <c r="C53" s="306">
        <f t="shared" si="5"/>
        <v>20</v>
      </c>
      <c r="D53" s="251">
        <v>20</v>
      </c>
      <c r="E53" s="251"/>
      <c r="F53" s="183">
        <f t="shared" si="6"/>
        <v>20</v>
      </c>
      <c r="G53" s="3">
        <f t="shared" si="7"/>
        <v>39000</v>
      </c>
      <c r="I53" s="246"/>
      <c r="J53" s="1">
        <f t="shared" si="8"/>
        <v>0</v>
      </c>
      <c r="K53" s="1">
        <f t="shared" si="9"/>
        <v>0</v>
      </c>
    </row>
    <row r="54" spans="1:11" x14ac:dyDescent="0.25">
      <c r="A54" s="111" t="s">
        <v>356</v>
      </c>
      <c r="B54" s="306">
        <v>10</v>
      </c>
      <c r="C54" s="306">
        <f t="shared" si="5"/>
        <v>20</v>
      </c>
      <c r="D54" s="251"/>
      <c r="E54" s="251">
        <v>20</v>
      </c>
      <c r="F54" s="183">
        <f t="shared" si="6"/>
        <v>20</v>
      </c>
      <c r="G54" s="3">
        <f t="shared" si="7"/>
        <v>39000</v>
      </c>
      <c r="I54" s="246"/>
      <c r="J54" s="1">
        <f t="shared" si="8"/>
        <v>0</v>
      </c>
      <c r="K54" s="1">
        <f t="shared" si="9"/>
        <v>0</v>
      </c>
    </row>
    <row r="55" spans="1:11" x14ac:dyDescent="0.25">
      <c r="A55" s="111" t="s">
        <v>357</v>
      </c>
      <c r="B55" s="306">
        <v>10</v>
      </c>
      <c r="C55" s="306">
        <f t="shared" si="5"/>
        <v>20</v>
      </c>
      <c r="D55" s="251"/>
      <c r="E55" s="251">
        <v>20</v>
      </c>
      <c r="F55" s="183">
        <f t="shared" si="6"/>
        <v>20</v>
      </c>
      <c r="G55" s="3">
        <f t="shared" si="7"/>
        <v>39000</v>
      </c>
      <c r="I55" s="246"/>
      <c r="J55" s="1">
        <f t="shared" si="8"/>
        <v>0</v>
      </c>
      <c r="K55" s="1">
        <f t="shared" si="9"/>
        <v>0</v>
      </c>
    </row>
    <row r="56" spans="1:11" x14ac:dyDescent="0.25">
      <c r="A56" s="123" t="s">
        <v>182</v>
      </c>
      <c r="B56" s="306"/>
      <c r="C56" s="306"/>
      <c r="D56" s="251"/>
      <c r="E56" s="251"/>
      <c r="F56" s="183"/>
      <c r="G56" s="3"/>
      <c r="I56" s="246"/>
      <c r="J56" s="1">
        <f t="shared" si="2"/>
        <v>0</v>
      </c>
      <c r="K56" s="1">
        <f t="shared" si="3"/>
        <v>0</v>
      </c>
    </row>
    <row r="57" spans="1:11" x14ac:dyDescent="0.25">
      <c r="A57" s="111" t="s">
        <v>183</v>
      </c>
      <c r="B57" s="306">
        <v>10</v>
      </c>
      <c r="C57" s="306">
        <f>B57*4</f>
        <v>40</v>
      </c>
      <c r="D57" s="251">
        <v>22</v>
      </c>
      <c r="E57" s="251">
        <v>22</v>
      </c>
      <c r="F57" s="183">
        <f t="shared" si="0"/>
        <v>44</v>
      </c>
      <c r="G57" s="3">
        <f t="shared" si="1"/>
        <v>85800</v>
      </c>
      <c r="I57" s="246"/>
      <c r="J57" s="1">
        <f t="shared" si="2"/>
        <v>0</v>
      </c>
      <c r="K57" s="1">
        <f t="shared" si="3"/>
        <v>0</v>
      </c>
    </row>
    <row r="58" spans="1:11" x14ac:dyDescent="0.25">
      <c r="A58" s="111" t="s">
        <v>322</v>
      </c>
      <c r="B58" s="306">
        <v>10</v>
      </c>
      <c r="C58" s="306">
        <v>20</v>
      </c>
      <c r="D58" s="251">
        <v>22</v>
      </c>
      <c r="E58" s="251"/>
      <c r="F58" s="183"/>
      <c r="G58" s="3">
        <v>42900</v>
      </c>
      <c r="I58" s="246"/>
      <c r="J58" s="1"/>
      <c r="K58" s="1"/>
    </row>
    <row r="59" spans="1:11" x14ac:dyDescent="0.25">
      <c r="A59" s="111" t="s">
        <v>184</v>
      </c>
      <c r="B59" s="306">
        <v>10</v>
      </c>
      <c r="C59" s="306">
        <f t="shared" ref="C59:C91" si="10">B59*2</f>
        <v>20</v>
      </c>
      <c r="D59" s="251">
        <v>0</v>
      </c>
      <c r="E59" s="251"/>
      <c r="F59" s="183">
        <f t="shared" si="0"/>
        <v>0</v>
      </c>
      <c r="G59" s="3">
        <f t="shared" si="1"/>
        <v>0</v>
      </c>
      <c r="I59" s="246"/>
      <c r="J59" s="1">
        <f t="shared" si="2"/>
        <v>0</v>
      </c>
      <c r="K59" s="1">
        <f t="shared" si="3"/>
        <v>0</v>
      </c>
    </row>
    <row r="60" spans="1:11" x14ac:dyDescent="0.25">
      <c r="A60" s="111" t="s">
        <v>238</v>
      </c>
      <c r="B60" s="306">
        <v>10</v>
      </c>
      <c r="C60" s="306">
        <f t="shared" si="10"/>
        <v>20</v>
      </c>
      <c r="D60" s="251">
        <v>22</v>
      </c>
      <c r="E60" s="251"/>
      <c r="F60" s="183">
        <f t="shared" si="0"/>
        <v>22</v>
      </c>
      <c r="G60" s="3">
        <f t="shared" si="1"/>
        <v>42900</v>
      </c>
      <c r="I60" s="246"/>
      <c r="J60" s="1">
        <f t="shared" si="2"/>
        <v>0</v>
      </c>
      <c r="K60" s="1">
        <f t="shared" si="3"/>
        <v>0</v>
      </c>
    </row>
    <row r="61" spans="1:11" x14ac:dyDescent="0.25">
      <c r="A61" s="111" t="s">
        <v>185</v>
      </c>
      <c r="B61" s="306">
        <v>10</v>
      </c>
      <c r="C61" s="306">
        <f t="shared" si="10"/>
        <v>20</v>
      </c>
      <c r="D61" s="251">
        <v>22</v>
      </c>
      <c r="E61" s="251"/>
      <c r="F61" s="183">
        <f t="shared" si="0"/>
        <v>22</v>
      </c>
      <c r="G61" s="3">
        <f t="shared" si="1"/>
        <v>42900</v>
      </c>
      <c r="I61" s="246"/>
      <c r="J61" s="1">
        <f t="shared" si="2"/>
        <v>0</v>
      </c>
      <c r="K61" s="1">
        <f t="shared" si="3"/>
        <v>0</v>
      </c>
    </row>
    <row r="62" spans="1:11" ht="30" x14ac:dyDescent="0.25">
      <c r="A62" s="111" t="s">
        <v>186</v>
      </c>
      <c r="B62" s="306">
        <v>10</v>
      </c>
      <c r="C62" s="306">
        <f t="shared" si="10"/>
        <v>20</v>
      </c>
      <c r="D62" s="251">
        <v>22</v>
      </c>
      <c r="E62" s="251"/>
      <c r="F62" s="183">
        <f t="shared" si="0"/>
        <v>22</v>
      </c>
      <c r="G62" s="3">
        <f t="shared" si="1"/>
        <v>42900</v>
      </c>
      <c r="I62" s="246"/>
      <c r="J62" s="1">
        <f t="shared" si="2"/>
        <v>0</v>
      </c>
      <c r="K62" s="1">
        <f t="shared" si="3"/>
        <v>0</v>
      </c>
    </row>
    <row r="63" spans="1:11" ht="30" x14ac:dyDescent="0.25">
      <c r="A63" s="111" t="s">
        <v>187</v>
      </c>
      <c r="B63" s="306">
        <v>10</v>
      </c>
      <c r="C63" s="306">
        <f t="shared" si="10"/>
        <v>20</v>
      </c>
      <c r="D63" s="251">
        <v>22</v>
      </c>
      <c r="E63" s="251"/>
      <c r="F63" s="183">
        <f t="shared" si="0"/>
        <v>22</v>
      </c>
      <c r="G63" s="3">
        <f t="shared" si="1"/>
        <v>42900</v>
      </c>
      <c r="I63" s="246"/>
      <c r="J63" s="1">
        <f t="shared" si="2"/>
        <v>0</v>
      </c>
      <c r="K63" s="1">
        <f t="shared" si="3"/>
        <v>0</v>
      </c>
    </row>
    <row r="64" spans="1:11" x14ac:dyDescent="0.25">
      <c r="A64" s="111" t="s">
        <v>188</v>
      </c>
      <c r="B64" s="306">
        <v>10</v>
      </c>
      <c r="C64" s="306">
        <f t="shared" si="10"/>
        <v>20</v>
      </c>
      <c r="D64" s="251">
        <v>22</v>
      </c>
      <c r="E64" s="251"/>
      <c r="F64" s="183">
        <f t="shared" si="0"/>
        <v>22</v>
      </c>
      <c r="G64" s="3">
        <f t="shared" si="1"/>
        <v>42900</v>
      </c>
      <c r="I64" s="246"/>
      <c r="J64" s="1">
        <f t="shared" si="2"/>
        <v>0</v>
      </c>
      <c r="K64" s="1">
        <f t="shared" si="3"/>
        <v>0</v>
      </c>
    </row>
    <row r="65" spans="1:11" ht="30" x14ac:dyDescent="0.25">
      <c r="A65" s="111" t="s">
        <v>201</v>
      </c>
      <c r="B65" s="306">
        <v>10</v>
      </c>
      <c r="C65" s="306">
        <f t="shared" si="10"/>
        <v>20</v>
      </c>
      <c r="D65" s="251">
        <v>22</v>
      </c>
      <c r="E65" s="251"/>
      <c r="F65" s="183">
        <f t="shared" si="0"/>
        <v>22</v>
      </c>
      <c r="G65" s="3">
        <f t="shared" si="1"/>
        <v>42900</v>
      </c>
      <c r="I65" s="246"/>
      <c r="J65" s="1">
        <f>I65*$D$2</f>
        <v>0</v>
      </c>
      <c r="K65" s="1"/>
    </row>
    <row r="66" spans="1:11" x14ac:dyDescent="0.25">
      <c r="A66" s="111" t="s">
        <v>189</v>
      </c>
      <c r="B66" s="306">
        <v>10</v>
      </c>
      <c r="C66" s="306">
        <f t="shared" si="10"/>
        <v>20</v>
      </c>
      <c r="D66" s="251">
        <v>22</v>
      </c>
      <c r="E66" s="251"/>
      <c r="F66" s="183">
        <f t="shared" si="0"/>
        <v>22</v>
      </c>
      <c r="G66" s="3">
        <f t="shared" si="1"/>
        <v>42900</v>
      </c>
      <c r="I66" s="246"/>
      <c r="J66" s="1">
        <f t="shared" si="2"/>
        <v>0</v>
      </c>
      <c r="K66" s="1">
        <f t="shared" si="3"/>
        <v>0</v>
      </c>
    </row>
    <row r="67" spans="1:11" x14ac:dyDescent="0.25">
      <c r="A67" s="111" t="s">
        <v>190</v>
      </c>
      <c r="B67" s="306">
        <v>10</v>
      </c>
      <c r="C67" s="306">
        <f t="shared" si="10"/>
        <v>20</v>
      </c>
      <c r="D67" s="251">
        <v>22</v>
      </c>
      <c r="E67" s="251"/>
      <c r="F67" s="183">
        <f t="shared" si="0"/>
        <v>22</v>
      </c>
      <c r="G67" s="3">
        <f t="shared" si="1"/>
        <v>42900</v>
      </c>
      <c r="I67" s="246"/>
      <c r="J67" s="1">
        <f t="shared" si="2"/>
        <v>0</v>
      </c>
      <c r="K67" s="1">
        <f t="shared" si="3"/>
        <v>0</v>
      </c>
    </row>
    <row r="68" spans="1:11" x14ac:dyDescent="0.25">
      <c r="A68" s="111" t="s">
        <v>321</v>
      </c>
      <c r="B68" s="306">
        <v>10</v>
      </c>
      <c r="C68" s="306">
        <f t="shared" si="10"/>
        <v>20</v>
      </c>
      <c r="D68" s="251">
        <v>22</v>
      </c>
      <c r="E68" s="251"/>
      <c r="F68" s="183">
        <f t="shared" si="0"/>
        <v>22</v>
      </c>
      <c r="G68" s="3">
        <f t="shared" si="1"/>
        <v>42900</v>
      </c>
      <c r="I68" s="246"/>
      <c r="J68" s="1"/>
      <c r="K68" s="1"/>
    </row>
    <row r="69" spans="1:11" x14ac:dyDescent="0.25">
      <c r="A69" s="111" t="s">
        <v>191</v>
      </c>
      <c r="B69" s="306">
        <v>10</v>
      </c>
      <c r="C69" s="306">
        <f t="shared" si="10"/>
        <v>20</v>
      </c>
      <c r="D69" s="251">
        <v>22</v>
      </c>
      <c r="E69" s="251"/>
      <c r="F69" s="183">
        <f t="shared" si="0"/>
        <v>22</v>
      </c>
      <c r="G69" s="3">
        <f t="shared" si="1"/>
        <v>42900</v>
      </c>
      <c r="I69" s="246"/>
      <c r="J69" s="1">
        <f t="shared" si="2"/>
        <v>0</v>
      </c>
      <c r="K69" s="1">
        <f t="shared" si="3"/>
        <v>0</v>
      </c>
    </row>
    <row r="70" spans="1:11" x14ac:dyDescent="0.25">
      <c r="A70" s="111" t="s">
        <v>192</v>
      </c>
      <c r="B70" s="306">
        <v>10</v>
      </c>
      <c r="C70" s="306">
        <f t="shared" si="10"/>
        <v>20</v>
      </c>
      <c r="D70" s="251">
        <v>22</v>
      </c>
      <c r="E70" s="251"/>
      <c r="F70" s="183">
        <f t="shared" si="0"/>
        <v>22</v>
      </c>
      <c r="G70" s="3">
        <f t="shared" si="1"/>
        <v>42900</v>
      </c>
      <c r="I70" s="246"/>
      <c r="J70" s="1">
        <f t="shared" si="2"/>
        <v>0</v>
      </c>
      <c r="K70" s="1">
        <f t="shared" si="3"/>
        <v>0</v>
      </c>
    </row>
    <row r="71" spans="1:11" ht="30" x14ac:dyDescent="0.25">
      <c r="A71" s="111" t="s">
        <v>193</v>
      </c>
      <c r="B71" s="306">
        <v>10</v>
      </c>
      <c r="C71" s="306">
        <f t="shared" si="10"/>
        <v>20</v>
      </c>
      <c r="D71" s="251">
        <v>22</v>
      </c>
      <c r="E71" s="251"/>
      <c r="F71" s="183">
        <f t="shared" si="0"/>
        <v>22</v>
      </c>
      <c r="G71" s="3">
        <f t="shared" si="1"/>
        <v>42900</v>
      </c>
      <c r="I71" s="246"/>
      <c r="J71" s="1">
        <f t="shared" si="2"/>
        <v>0</v>
      </c>
      <c r="K71" s="1">
        <f t="shared" si="3"/>
        <v>0</v>
      </c>
    </row>
    <row r="72" spans="1:11" x14ac:dyDescent="0.25">
      <c r="A72" s="111" t="s">
        <v>194</v>
      </c>
      <c r="B72" s="306">
        <v>10</v>
      </c>
      <c r="C72" s="306">
        <f t="shared" si="10"/>
        <v>20</v>
      </c>
      <c r="D72" s="251">
        <v>22</v>
      </c>
      <c r="E72" s="251"/>
      <c r="F72" s="183">
        <f t="shared" si="0"/>
        <v>22</v>
      </c>
      <c r="G72" s="3">
        <f t="shared" si="1"/>
        <v>42900</v>
      </c>
      <c r="I72" s="246"/>
      <c r="J72" s="1">
        <f t="shared" si="2"/>
        <v>0</v>
      </c>
      <c r="K72" s="1">
        <f t="shared" si="3"/>
        <v>0</v>
      </c>
    </row>
    <row r="73" spans="1:11" x14ac:dyDescent="0.25">
      <c r="A73" s="111" t="s">
        <v>195</v>
      </c>
      <c r="B73" s="306">
        <v>10</v>
      </c>
      <c r="C73" s="306">
        <f t="shared" si="10"/>
        <v>20</v>
      </c>
      <c r="D73" s="251">
        <v>22</v>
      </c>
      <c r="E73" s="251"/>
      <c r="F73" s="183">
        <f t="shared" si="0"/>
        <v>22</v>
      </c>
      <c r="G73" s="3">
        <f t="shared" si="1"/>
        <v>42900</v>
      </c>
      <c r="I73" s="246"/>
      <c r="J73" s="1">
        <f t="shared" si="2"/>
        <v>0</v>
      </c>
      <c r="K73" s="1">
        <f t="shared" si="3"/>
        <v>0</v>
      </c>
    </row>
    <row r="74" spans="1:11" ht="30" x14ac:dyDescent="0.25">
      <c r="A74" s="111" t="s">
        <v>196</v>
      </c>
      <c r="B74" s="306">
        <v>10</v>
      </c>
      <c r="C74" s="306">
        <f t="shared" si="10"/>
        <v>20</v>
      </c>
      <c r="D74" s="251">
        <v>22</v>
      </c>
      <c r="E74" s="251"/>
      <c r="F74" s="183">
        <f t="shared" si="0"/>
        <v>22</v>
      </c>
      <c r="G74" s="3">
        <f t="shared" si="1"/>
        <v>42900</v>
      </c>
      <c r="I74" s="246"/>
      <c r="J74" s="1">
        <f t="shared" si="2"/>
        <v>0</v>
      </c>
      <c r="K74" s="1">
        <f t="shared" si="3"/>
        <v>0</v>
      </c>
    </row>
    <row r="75" spans="1:11" x14ac:dyDescent="0.25">
      <c r="A75" s="111" t="s">
        <v>197</v>
      </c>
      <c r="B75" s="306">
        <v>10</v>
      </c>
      <c r="C75" s="306">
        <f t="shared" si="10"/>
        <v>20</v>
      </c>
      <c r="D75" s="251"/>
      <c r="E75" s="251">
        <v>22</v>
      </c>
      <c r="F75" s="183">
        <f t="shared" si="0"/>
        <v>22</v>
      </c>
      <c r="G75" s="3">
        <f t="shared" si="1"/>
        <v>42900</v>
      </c>
      <c r="I75" s="246"/>
      <c r="J75" s="1">
        <f t="shared" si="2"/>
        <v>0</v>
      </c>
      <c r="K75" s="1">
        <f t="shared" si="3"/>
        <v>0</v>
      </c>
    </row>
    <row r="76" spans="1:11" x14ac:dyDescent="0.25">
      <c r="A76" s="111" t="s">
        <v>330</v>
      </c>
      <c r="B76" s="306">
        <v>10</v>
      </c>
      <c r="C76" s="306">
        <f t="shared" si="10"/>
        <v>20</v>
      </c>
      <c r="D76" s="251"/>
      <c r="E76" s="251">
        <v>22</v>
      </c>
      <c r="F76" s="183">
        <f t="shared" si="0"/>
        <v>22</v>
      </c>
      <c r="G76" s="3">
        <f t="shared" si="1"/>
        <v>42900</v>
      </c>
      <c r="I76" s="246"/>
      <c r="J76" s="1">
        <f t="shared" si="2"/>
        <v>0</v>
      </c>
      <c r="K76" s="1">
        <f t="shared" si="3"/>
        <v>0</v>
      </c>
    </row>
    <row r="77" spans="1:11" x14ac:dyDescent="0.25">
      <c r="A77" s="111" t="s">
        <v>198</v>
      </c>
      <c r="B77" s="306">
        <v>10</v>
      </c>
      <c r="C77" s="306">
        <f t="shared" si="10"/>
        <v>20</v>
      </c>
      <c r="D77" s="251"/>
      <c r="E77" s="251">
        <v>22</v>
      </c>
      <c r="F77" s="183">
        <f t="shared" si="0"/>
        <v>22</v>
      </c>
      <c r="G77" s="3">
        <f t="shared" si="1"/>
        <v>42900</v>
      </c>
      <c r="I77" s="246"/>
      <c r="J77" s="1">
        <f t="shared" si="2"/>
        <v>0</v>
      </c>
      <c r="K77" s="1">
        <f t="shared" si="3"/>
        <v>0</v>
      </c>
    </row>
    <row r="78" spans="1:11" ht="30" x14ac:dyDescent="0.25">
      <c r="A78" s="111" t="s">
        <v>199</v>
      </c>
      <c r="B78" s="306">
        <v>10</v>
      </c>
      <c r="C78" s="306">
        <f t="shared" si="10"/>
        <v>20</v>
      </c>
      <c r="D78" s="251"/>
      <c r="E78" s="251">
        <v>22</v>
      </c>
      <c r="F78" s="183">
        <f t="shared" ref="F78:F93" si="11">SUM(D78:E78)</f>
        <v>22</v>
      </c>
      <c r="G78" s="3">
        <f t="shared" ref="G78:G93" si="12">F78*$D$2</f>
        <v>42900</v>
      </c>
      <c r="I78" s="246"/>
      <c r="J78" s="1">
        <f t="shared" ref="J78:J90" si="13">I78*$D$2</f>
        <v>0</v>
      </c>
      <c r="K78" s="1">
        <f t="shared" ref="K78:K88" si="14">I78/5</f>
        <v>0</v>
      </c>
    </row>
    <row r="79" spans="1:11" ht="30" x14ac:dyDescent="0.25">
      <c r="A79" s="111" t="s">
        <v>200</v>
      </c>
      <c r="B79" s="306">
        <v>10</v>
      </c>
      <c r="C79" s="306">
        <f t="shared" si="10"/>
        <v>20</v>
      </c>
      <c r="D79" s="251"/>
      <c r="E79" s="251">
        <v>22</v>
      </c>
      <c r="F79" s="183">
        <f t="shared" si="11"/>
        <v>22</v>
      </c>
      <c r="G79" s="3">
        <f t="shared" si="12"/>
        <v>42900</v>
      </c>
      <c r="I79" s="246"/>
      <c r="J79" s="1">
        <f t="shared" si="13"/>
        <v>0</v>
      </c>
      <c r="K79" s="1">
        <f t="shared" si="14"/>
        <v>0</v>
      </c>
    </row>
    <row r="80" spans="1:11" x14ac:dyDescent="0.25">
      <c r="A80" s="111" t="s">
        <v>202</v>
      </c>
      <c r="B80" s="306">
        <v>10</v>
      </c>
      <c r="C80" s="306">
        <f t="shared" si="10"/>
        <v>20</v>
      </c>
      <c r="D80" s="251"/>
      <c r="E80" s="251">
        <v>22</v>
      </c>
      <c r="F80" s="183">
        <f t="shared" si="11"/>
        <v>22</v>
      </c>
      <c r="G80" s="3">
        <f t="shared" si="12"/>
        <v>42900</v>
      </c>
      <c r="I80" s="246"/>
      <c r="J80" s="1">
        <f t="shared" si="13"/>
        <v>0</v>
      </c>
      <c r="K80" s="1">
        <f t="shared" si="14"/>
        <v>0</v>
      </c>
    </row>
    <row r="81" spans="1:11" ht="30" x14ac:dyDescent="0.25">
      <c r="A81" s="111" t="s">
        <v>237</v>
      </c>
      <c r="B81" s="306"/>
      <c r="C81" s="306"/>
      <c r="D81" s="251" t="s">
        <v>288</v>
      </c>
      <c r="E81" s="251"/>
      <c r="F81" s="183">
        <f t="shared" si="11"/>
        <v>0</v>
      </c>
      <c r="G81" s="3">
        <f t="shared" si="12"/>
        <v>0</v>
      </c>
      <c r="I81" s="246"/>
      <c r="J81" s="1">
        <f t="shared" si="13"/>
        <v>0</v>
      </c>
      <c r="K81" s="1"/>
    </row>
    <row r="82" spans="1:11" x14ac:dyDescent="0.25">
      <c r="A82" s="111" t="s">
        <v>203</v>
      </c>
      <c r="B82" s="306">
        <v>10</v>
      </c>
      <c r="C82" s="306">
        <f t="shared" si="10"/>
        <v>20</v>
      </c>
      <c r="D82" s="251"/>
      <c r="E82" s="251">
        <v>22</v>
      </c>
      <c r="F82" s="183">
        <f t="shared" si="11"/>
        <v>22</v>
      </c>
      <c r="G82" s="3">
        <f t="shared" si="12"/>
        <v>42900</v>
      </c>
      <c r="I82" s="246"/>
      <c r="J82" s="1">
        <f t="shared" si="13"/>
        <v>0</v>
      </c>
      <c r="K82" s="1">
        <f t="shared" si="14"/>
        <v>0</v>
      </c>
    </row>
    <row r="83" spans="1:11" ht="30" x14ac:dyDescent="0.25">
      <c r="A83" s="111" t="s">
        <v>204</v>
      </c>
      <c r="B83" s="306">
        <v>10</v>
      </c>
      <c r="C83" s="306">
        <f t="shared" si="10"/>
        <v>20</v>
      </c>
      <c r="D83" s="251"/>
      <c r="E83" s="251">
        <v>22</v>
      </c>
      <c r="F83" s="183">
        <f t="shared" si="11"/>
        <v>22</v>
      </c>
      <c r="G83" s="3">
        <f t="shared" si="12"/>
        <v>42900</v>
      </c>
      <c r="I83" s="246"/>
      <c r="J83" s="1">
        <f t="shared" si="13"/>
        <v>0</v>
      </c>
      <c r="K83" s="1">
        <f t="shared" si="14"/>
        <v>0</v>
      </c>
    </row>
    <row r="84" spans="1:11" x14ac:dyDescent="0.25">
      <c r="A84" s="111" t="s">
        <v>205</v>
      </c>
      <c r="B84" s="306">
        <v>10</v>
      </c>
      <c r="C84" s="306">
        <f t="shared" si="10"/>
        <v>20</v>
      </c>
      <c r="D84" s="251"/>
      <c r="E84" s="251">
        <v>22</v>
      </c>
      <c r="F84" s="183">
        <f t="shared" si="11"/>
        <v>22</v>
      </c>
      <c r="G84" s="3">
        <f t="shared" si="12"/>
        <v>42900</v>
      </c>
      <c r="I84" s="246"/>
      <c r="J84" s="1">
        <f t="shared" si="13"/>
        <v>0</v>
      </c>
      <c r="K84" s="1">
        <f t="shared" si="14"/>
        <v>0</v>
      </c>
    </row>
    <row r="85" spans="1:11" x14ac:dyDescent="0.25">
      <c r="A85" s="111" t="s">
        <v>206</v>
      </c>
      <c r="B85" s="306">
        <v>10</v>
      </c>
      <c r="C85" s="306">
        <f t="shared" si="10"/>
        <v>20</v>
      </c>
      <c r="D85" s="251"/>
      <c r="E85" s="251">
        <v>22</v>
      </c>
      <c r="F85" s="183">
        <f t="shared" si="11"/>
        <v>22</v>
      </c>
      <c r="G85" s="3">
        <f t="shared" si="12"/>
        <v>42900</v>
      </c>
      <c r="I85" s="246"/>
      <c r="J85" s="1">
        <f t="shared" si="13"/>
        <v>0</v>
      </c>
      <c r="K85" s="1">
        <f t="shared" si="14"/>
        <v>0</v>
      </c>
    </row>
    <row r="86" spans="1:11" x14ac:dyDescent="0.25">
      <c r="A86" s="111" t="s">
        <v>207</v>
      </c>
      <c r="B86" s="306">
        <v>10</v>
      </c>
      <c r="C86" s="306">
        <f t="shared" si="10"/>
        <v>20</v>
      </c>
      <c r="D86" s="251"/>
      <c r="E86" s="251">
        <v>22</v>
      </c>
      <c r="F86" s="183">
        <f t="shared" si="11"/>
        <v>22</v>
      </c>
      <c r="G86" s="3">
        <f t="shared" si="12"/>
        <v>42900</v>
      </c>
      <c r="I86" s="246"/>
      <c r="J86" s="1">
        <f t="shared" si="13"/>
        <v>0</v>
      </c>
      <c r="K86" s="1">
        <f t="shared" si="14"/>
        <v>0</v>
      </c>
    </row>
    <row r="87" spans="1:11" ht="30" x14ac:dyDescent="0.25">
      <c r="A87" s="111" t="s">
        <v>208</v>
      </c>
      <c r="B87" s="306">
        <v>10</v>
      </c>
      <c r="C87" s="306">
        <f t="shared" si="10"/>
        <v>20</v>
      </c>
      <c r="D87" s="251"/>
      <c r="E87" s="251">
        <v>22</v>
      </c>
      <c r="F87" s="183">
        <f t="shared" si="11"/>
        <v>22</v>
      </c>
      <c r="G87" s="3">
        <f t="shared" si="12"/>
        <v>42900</v>
      </c>
      <c r="I87" s="246"/>
      <c r="J87" s="1">
        <f t="shared" si="13"/>
        <v>0</v>
      </c>
      <c r="K87" s="1">
        <f t="shared" si="14"/>
        <v>0</v>
      </c>
    </row>
    <row r="88" spans="1:11" x14ac:dyDescent="0.25">
      <c r="A88" s="111" t="s">
        <v>209</v>
      </c>
      <c r="B88" s="276">
        <v>10</v>
      </c>
      <c r="C88" s="276">
        <f t="shared" si="10"/>
        <v>20</v>
      </c>
      <c r="D88" s="246"/>
      <c r="E88" s="246">
        <v>22</v>
      </c>
      <c r="F88" s="1">
        <f t="shared" si="11"/>
        <v>22</v>
      </c>
      <c r="G88" s="3">
        <f t="shared" si="12"/>
        <v>42900</v>
      </c>
      <c r="I88" s="246"/>
      <c r="J88" s="1">
        <f t="shared" si="13"/>
        <v>0</v>
      </c>
      <c r="K88" s="1">
        <f t="shared" si="14"/>
        <v>0</v>
      </c>
    </row>
    <row r="89" spans="1:11" ht="30" x14ac:dyDescent="0.25">
      <c r="A89" s="111" t="s">
        <v>239</v>
      </c>
      <c r="B89" s="306">
        <v>10</v>
      </c>
      <c r="C89" s="306">
        <f>B89*2</f>
        <v>20</v>
      </c>
      <c r="D89" s="251"/>
      <c r="E89" s="251">
        <v>22</v>
      </c>
      <c r="F89" s="183">
        <v>0</v>
      </c>
      <c r="G89" s="3">
        <f>F89*$D$2</f>
        <v>0</v>
      </c>
      <c r="I89" s="246">
        <v>0</v>
      </c>
      <c r="J89" s="1">
        <f>I89*$D$2</f>
        <v>0</v>
      </c>
      <c r="K89" s="1">
        <f>I89/5</f>
        <v>0</v>
      </c>
    </row>
    <row r="90" spans="1:11" ht="30" x14ac:dyDescent="0.25">
      <c r="A90" s="111" t="s">
        <v>310</v>
      </c>
      <c r="B90" s="276">
        <v>10</v>
      </c>
      <c r="C90" s="276">
        <f t="shared" si="10"/>
        <v>20</v>
      </c>
      <c r="D90" s="246"/>
      <c r="E90" s="246">
        <v>22</v>
      </c>
      <c r="F90" s="1">
        <f t="shared" si="11"/>
        <v>22</v>
      </c>
      <c r="G90" s="3">
        <f t="shared" si="12"/>
        <v>42900</v>
      </c>
      <c r="I90" s="246"/>
      <c r="J90" s="1">
        <f t="shared" si="13"/>
        <v>0</v>
      </c>
      <c r="K90" s="1"/>
    </row>
    <row r="91" spans="1:11" ht="30" x14ac:dyDescent="0.25">
      <c r="A91" s="111" t="s">
        <v>311</v>
      </c>
      <c r="B91" s="276">
        <v>10</v>
      </c>
      <c r="C91" s="276">
        <f t="shared" si="10"/>
        <v>20</v>
      </c>
      <c r="D91" s="246"/>
      <c r="E91" s="246">
        <v>22</v>
      </c>
      <c r="F91" s="1">
        <f t="shared" si="11"/>
        <v>22</v>
      </c>
      <c r="G91" s="3">
        <f t="shared" si="12"/>
        <v>42900</v>
      </c>
      <c r="I91" s="246">
        <v>0</v>
      </c>
      <c r="J91" s="1"/>
      <c r="K91" s="1"/>
    </row>
    <row r="92" spans="1:11" x14ac:dyDescent="0.25">
      <c r="A92" s="111" t="s">
        <v>352</v>
      </c>
      <c r="B92" s="276"/>
      <c r="C92" s="276"/>
      <c r="D92" s="246">
        <f>6*10</f>
        <v>60</v>
      </c>
      <c r="E92" s="246">
        <f>6*10</f>
        <v>60</v>
      </c>
      <c r="F92" s="1">
        <f t="shared" si="11"/>
        <v>120</v>
      </c>
      <c r="G92" s="3">
        <f t="shared" si="12"/>
        <v>234000</v>
      </c>
      <c r="I92" s="246"/>
      <c r="J92" s="1"/>
      <c r="K92" s="1"/>
    </row>
    <row r="93" spans="1:11" ht="30" x14ac:dyDescent="0.25">
      <c r="A93" s="111" t="s">
        <v>353</v>
      </c>
      <c r="B93" s="276"/>
      <c r="C93" s="276"/>
      <c r="D93" s="246">
        <v>6</v>
      </c>
      <c r="E93" s="246">
        <v>6</v>
      </c>
      <c r="F93" s="1">
        <f t="shared" si="11"/>
        <v>12</v>
      </c>
      <c r="G93" s="3">
        <f t="shared" si="12"/>
        <v>23400</v>
      </c>
      <c r="I93" s="246"/>
      <c r="J93" s="1"/>
      <c r="K93" s="1"/>
    </row>
    <row r="94" spans="1:11" s="113" customFormat="1" ht="18.75" x14ac:dyDescent="0.3">
      <c r="A94" s="114" t="s">
        <v>69</v>
      </c>
      <c r="B94" s="115"/>
      <c r="C94" s="115"/>
      <c r="D94" s="116">
        <f>SUM(D6:D88)</f>
        <v>726</v>
      </c>
      <c r="E94" s="116">
        <f>SUM(E6:E93)</f>
        <v>810</v>
      </c>
      <c r="F94" s="116">
        <f>SUM(F6:F91)</f>
        <v>1426</v>
      </c>
      <c r="G94" s="116">
        <f>SUM(G6:G91)</f>
        <v>2823600</v>
      </c>
      <c r="I94" s="115">
        <f>F94*0.2</f>
        <v>285.2</v>
      </c>
      <c r="J94" s="115">
        <f>I94*D2</f>
        <v>556140</v>
      </c>
      <c r="K94" s="115">
        <f>SUM(K6:K88)</f>
        <v>0</v>
      </c>
    </row>
    <row r="96" spans="1:11" x14ac:dyDescent="0.25">
      <c r="K96" s="94"/>
    </row>
  </sheetData>
  <sheetProtection selectLockedCells="1"/>
  <customSheetViews>
    <customSheetView guid="{749D43A3-052D-442F-AE88-F6CCB83A1282}" topLeftCell="A60">
      <selection activeCell="D92" sqref="D92:E92"/>
      <pageMargins left="0.7" right="0.7" top="0.75" bottom="0.75" header="0.3" footer="0.3"/>
      <pageSetup paperSize="9" orientation="portrait" r:id="rId1"/>
    </customSheetView>
    <customSheetView guid="{E5349645-7714-4437-B9BC-26ED822E5BC5}" topLeftCell="A52">
      <selection activeCell="D79" sqref="D79"/>
      <pageMargins left="0.7" right="0.7" top="0.75" bottom="0.75" header="0.3" footer="0.3"/>
      <pageSetup paperSize="9" orientation="portrait" r:id="rId2"/>
    </customSheetView>
    <customSheetView guid="{F38A39FA-EF57-4062-A2AD-F3BEB88C5762}">
      <selection activeCell="E71" sqref="E71"/>
      <pageMargins left="0.7" right="0.7" top="0.75" bottom="0.75" header="0.3" footer="0.3"/>
      <pageSetup paperSize="9" orientation="portrait" r:id="rId3"/>
    </customSheetView>
    <customSheetView guid="{83C69039-3E29-46E1-85FB-B9165E0BFA91}" topLeftCell="A16">
      <selection activeCell="J83" sqref="J83"/>
      <pageMargins left="0.7" right="0.7" top="0.75" bottom="0.75" header="0.3" footer="0.3"/>
      <pageSetup paperSize="9" orientation="portrait" r:id="rId4"/>
    </customSheetView>
    <customSheetView guid="{C1FECEF4-D739-4F39-9B89-CF4C04A77A9B}" showPageBreaks="1" topLeftCell="A29">
      <selection activeCell="A72" sqref="A72"/>
      <pageMargins left="0.7" right="0.7" top="0.75" bottom="0.75" header="0.3" footer="0.3"/>
      <pageSetup paperSize="9" orientation="portrait" r:id="rId5"/>
    </customSheetView>
    <customSheetView guid="{1241DC17-BD41-46C5-9DB1-684763A09F24}" topLeftCell="A16">
      <selection activeCell="J83" sqref="J83"/>
      <pageMargins left="0.7" right="0.7" top="0.75" bottom="0.75" header="0.3" footer="0.3"/>
      <pageSetup paperSize="9" orientation="portrait" r:id="rId6"/>
    </customSheetView>
    <customSheetView guid="{B76C0EA9-E79B-4DA2-9ADE-66DB47109F8F}">
      <selection activeCell="N17" sqref="N17"/>
      <pageMargins left="0.7" right="0.7" top="0.75" bottom="0.75" header="0.3" footer="0.3"/>
      <pageSetup paperSize="9" orientation="portrait" r:id="rId7"/>
    </customSheetView>
    <customSheetView guid="{726FF687-50E0-4F8A-BCCB-6DA9E6D367D4}">
      <selection activeCell="N17" sqref="N17"/>
      <pageMargins left="0.7" right="0.7" top="0.75" bottom="0.75" header="0.3" footer="0.3"/>
      <pageSetup paperSize="9" orientation="portrait" r:id="rId8"/>
    </customSheetView>
    <customSheetView guid="{BB9ED292-532F-438C-A4A6-F8D66D70E0E7}" topLeftCell="A61">
      <selection activeCell="A43" sqref="A43"/>
      <pageMargins left="0.7" right="0.7" top="0.75" bottom="0.75" header="0.3" footer="0.3"/>
      <pageSetup paperSize="9" orientation="portrait" r:id="rId9"/>
    </customSheetView>
    <customSheetView guid="{7AE955BB-7BF8-4CA4-ABF1-6A0BB53A48AD}" topLeftCell="A36">
      <selection activeCell="M100" sqref="M100"/>
      <pageMargins left="0.7" right="0.7" top="0.75" bottom="0.75" header="0.3" footer="0.3"/>
      <pageSetup paperSize="9" orientation="portrait" r:id="rId10"/>
    </customSheetView>
    <customSheetView guid="{43EFFC0A-CCC0-43DD-A273-4AF58757EC00}">
      <selection activeCell="E71" sqref="E71"/>
      <pageMargins left="0.7" right="0.7" top="0.75" bottom="0.75" header="0.3" footer="0.3"/>
      <pageSetup paperSize="9" orientation="portrait" r:id="rId11"/>
    </customSheetView>
    <customSheetView guid="{1283C6B5-B05C-447B-8854-CDB081C03FD4}" hiddenColumns="1" topLeftCell="A64">
      <selection activeCell="D2" sqref="D2"/>
      <pageMargins left="0.7" right="0.7" top="0.75" bottom="0.75" header="0.3" footer="0.3"/>
      <pageSetup paperSize="9" orientation="portrait" r:id="rId12"/>
    </customSheetView>
    <customSheetView guid="{CB7E9FB3-C7A3-44DE-98E4-19C23B487785}" hiddenColumns="1">
      <selection activeCell="D2" sqref="D2"/>
      <pageMargins left="0.7" right="0.7" top="0.75" bottom="0.75" header="0.3" footer="0.3"/>
      <pageSetup paperSize="9" orientation="portrait" r:id="rId13"/>
    </customSheetView>
  </customSheetViews>
  <mergeCells count="1">
    <mergeCell ref="D4:F4"/>
  </mergeCells>
  <pageMargins left="0.7" right="0.7" top="0.75" bottom="0.75" header="0.3" footer="0.3"/>
  <pageSetup paperSize="8" orientation="landscape"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12" sqref="A12"/>
    </sheetView>
  </sheetViews>
  <sheetFormatPr defaultColWidth="11.42578125" defaultRowHeight="15" x14ac:dyDescent="0.25"/>
  <cols>
    <col min="1" max="1" width="62.28515625" customWidth="1"/>
    <col min="2" max="2" width="14.140625" customWidth="1"/>
    <col min="3" max="3" width="14.42578125" customWidth="1"/>
    <col min="4" max="4" width="10" bestFit="1" customWidth="1"/>
    <col min="5" max="5" width="10.85546875" customWidth="1"/>
    <col min="6" max="6" width="14.42578125" bestFit="1" customWidth="1"/>
    <col min="7" max="256" width="9.140625" customWidth="1"/>
  </cols>
  <sheetData>
    <row r="1" spans="1:8" ht="20.25" x14ac:dyDescent="0.3">
      <c r="A1" s="136" t="s">
        <v>246</v>
      </c>
    </row>
    <row r="3" spans="1:8" x14ac:dyDescent="0.25">
      <c r="F3" s="158" t="s">
        <v>231</v>
      </c>
    </row>
    <row r="4" spans="1:8" ht="18.75" x14ac:dyDescent="0.3">
      <c r="A4" s="134" t="s">
        <v>254</v>
      </c>
      <c r="C4" s="135">
        <v>500000</v>
      </c>
      <c r="F4" s="122">
        <v>0.2</v>
      </c>
    </row>
    <row r="5" spans="1:8" ht="18.75" x14ac:dyDescent="0.3">
      <c r="A5" s="134" t="s">
        <v>247</v>
      </c>
      <c r="C5" s="135">
        <f>E23</f>
        <v>577500</v>
      </c>
      <c r="F5" s="122">
        <v>0.2</v>
      </c>
    </row>
    <row r="6" spans="1:8" ht="18.75" x14ac:dyDescent="0.3">
      <c r="A6" s="134" t="s">
        <v>248</v>
      </c>
      <c r="C6" s="135">
        <f>E31</f>
        <v>343900</v>
      </c>
      <c r="F6" s="122">
        <v>0.2</v>
      </c>
    </row>
    <row r="7" spans="1:8" ht="18.75" x14ac:dyDescent="0.3">
      <c r="A7" s="134" t="s">
        <v>307</v>
      </c>
      <c r="C7" s="135">
        <f>'Oppsummering '!D12</f>
        <v>2622720</v>
      </c>
      <c r="F7" s="122">
        <v>0.5</v>
      </c>
      <c r="G7" s="16"/>
      <c r="H7" s="16"/>
    </row>
    <row r="8" spans="1:8" ht="18.75" x14ac:dyDescent="0.3">
      <c r="A8" s="134" t="s">
        <v>253</v>
      </c>
      <c r="C8" s="135">
        <f>263000+25000</f>
        <v>288000</v>
      </c>
      <c r="F8" s="122"/>
    </row>
    <row r="9" spans="1:8" ht="18.75" x14ac:dyDescent="0.3">
      <c r="A9" s="134" t="s">
        <v>224</v>
      </c>
      <c r="C9" s="135">
        <v>0</v>
      </c>
      <c r="F9" s="122">
        <v>1</v>
      </c>
    </row>
    <row r="10" spans="1:8" ht="18.75" x14ac:dyDescent="0.3">
      <c r="A10" s="206" t="s">
        <v>308</v>
      </c>
      <c r="C10" s="135">
        <v>260000</v>
      </c>
      <c r="F10" s="122">
        <v>0.4</v>
      </c>
    </row>
    <row r="11" spans="1:8" ht="18.75" x14ac:dyDescent="0.3">
      <c r="A11" s="206" t="s">
        <v>376</v>
      </c>
      <c r="C11" s="135">
        <f>E17</f>
        <v>380640</v>
      </c>
      <c r="F11" s="122"/>
    </row>
    <row r="12" spans="1:8" s="148" customFormat="1" ht="18.75" x14ac:dyDescent="0.3">
      <c r="A12" s="155" t="s">
        <v>233</v>
      </c>
      <c r="C12" s="156">
        <f>SUM(C4:C10)</f>
        <v>4592120</v>
      </c>
    </row>
    <row r="15" spans="1:8" x14ac:dyDescent="0.25">
      <c r="A15" s="137" t="s">
        <v>213</v>
      </c>
      <c r="B15" s="138" t="s">
        <v>214</v>
      </c>
      <c r="C15" s="137" t="s">
        <v>215</v>
      </c>
      <c r="D15" s="137" t="s">
        <v>216</v>
      </c>
      <c r="E15" s="137" t="s">
        <v>230</v>
      </c>
      <c r="F15" s="137" t="s">
        <v>231</v>
      </c>
    </row>
    <row r="16" spans="1:8" x14ac:dyDescent="0.25">
      <c r="A16" s="139" t="s">
        <v>333</v>
      </c>
      <c r="B16" s="140">
        <v>174.1</v>
      </c>
      <c r="C16" s="259">
        <v>135</v>
      </c>
      <c r="D16" s="259">
        <v>135</v>
      </c>
      <c r="E16" s="211">
        <f>C16*B16+D16*B16</f>
        <v>47007</v>
      </c>
      <c r="F16" s="141">
        <v>0.2</v>
      </c>
    </row>
    <row r="17" spans="1:9" x14ac:dyDescent="0.25">
      <c r="A17" s="139" t="s">
        <v>361</v>
      </c>
      <c r="B17" s="140">
        <f>B20*2/5</f>
        <v>780</v>
      </c>
      <c r="C17" s="259">
        <v>256</v>
      </c>
      <c r="D17" s="259">
        <v>232</v>
      </c>
      <c r="E17" s="211">
        <f>C17*B17+D17*B17</f>
        <v>380640</v>
      </c>
      <c r="F17" s="209"/>
      <c r="G17" s="182"/>
    </row>
    <row r="18" spans="1:9" ht="14.45" x14ac:dyDescent="0.3">
      <c r="A18" s="139"/>
      <c r="B18" s="140"/>
      <c r="C18" s="208"/>
      <c r="D18" s="208"/>
      <c r="E18" s="208"/>
      <c r="F18" s="208"/>
      <c r="G18" s="182"/>
    </row>
    <row r="19" spans="1:9" x14ac:dyDescent="0.25">
      <c r="A19" s="137" t="s">
        <v>217</v>
      </c>
      <c r="B19" s="140"/>
      <c r="C19" s="208"/>
      <c r="D19" s="208"/>
      <c r="E19" s="208"/>
      <c r="F19" s="208"/>
      <c r="G19" s="182"/>
    </row>
    <row r="20" spans="1:9" ht="14.45" x14ac:dyDescent="0.3">
      <c r="A20" s="139" t="s">
        <v>218</v>
      </c>
      <c r="B20" s="140">
        <v>1950</v>
      </c>
      <c r="C20" s="259">
        <v>52</v>
      </c>
      <c r="D20" s="259">
        <v>60</v>
      </c>
      <c r="E20" s="211">
        <f>C20*B20+D20*B20</f>
        <v>218400</v>
      </c>
      <c r="F20" s="211">
        <f>E20</f>
        <v>218400</v>
      </c>
      <c r="G20" s="182"/>
    </row>
    <row r="21" spans="1:9" ht="14.45" x14ac:dyDescent="0.3">
      <c r="A21" s="139" t="s">
        <v>219</v>
      </c>
      <c r="B21" s="140">
        <v>1900</v>
      </c>
      <c r="C21" s="259">
        <v>57</v>
      </c>
      <c r="D21" s="259">
        <v>60</v>
      </c>
      <c r="E21" s="211">
        <f t="shared" ref="E21:E32" si="0">C21*B21+D21*B21</f>
        <v>222300</v>
      </c>
      <c r="F21" s="211">
        <f>E21*0.5</f>
        <v>111150</v>
      </c>
      <c r="G21" s="182"/>
    </row>
    <row r="22" spans="1:9" ht="14.45" x14ac:dyDescent="0.3">
      <c r="A22" s="139" t="s">
        <v>220</v>
      </c>
      <c r="B22" s="140">
        <v>1900</v>
      </c>
      <c r="C22" s="259">
        <v>36</v>
      </c>
      <c r="D22" s="259">
        <v>36</v>
      </c>
      <c r="E22" s="211">
        <f t="shared" si="0"/>
        <v>136800</v>
      </c>
      <c r="F22" s="211">
        <v>0</v>
      </c>
      <c r="G22" s="182"/>
    </row>
    <row r="23" spans="1:9" s="148" customFormat="1" x14ac:dyDescent="0.25">
      <c r="A23" s="146" t="s">
        <v>251</v>
      </c>
      <c r="B23" s="147"/>
      <c r="C23" s="153"/>
      <c r="D23" s="153"/>
      <c r="E23" s="154">
        <f>SUM(E20:E22)</f>
        <v>577500</v>
      </c>
      <c r="F23" s="154">
        <f t="shared" ref="F23:F32" si="1">E23*$F$16</f>
        <v>115500</v>
      </c>
      <c r="G23" s="212"/>
    </row>
    <row r="24" spans="1:9" x14ac:dyDescent="0.25">
      <c r="A24" s="139"/>
      <c r="B24" s="140"/>
      <c r="C24" s="210"/>
      <c r="D24" s="210"/>
      <c r="E24" s="211">
        <f t="shared" si="0"/>
        <v>0</v>
      </c>
      <c r="F24" s="211">
        <f t="shared" si="1"/>
        <v>0</v>
      </c>
      <c r="G24" s="182"/>
      <c r="H24" s="190"/>
      <c r="I24" s="190"/>
    </row>
    <row r="25" spans="1:9" x14ac:dyDescent="0.25">
      <c r="A25" s="137" t="s">
        <v>221</v>
      </c>
      <c r="B25" s="140"/>
      <c r="C25" s="210"/>
      <c r="D25" s="210"/>
      <c r="E25" s="211">
        <f t="shared" si="0"/>
        <v>0</v>
      </c>
      <c r="F25" s="211">
        <f t="shared" si="1"/>
        <v>0</v>
      </c>
      <c r="G25" s="182"/>
      <c r="H25" s="190"/>
      <c r="I25" s="190"/>
    </row>
    <row r="26" spans="1:9" ht="16.5" customHeight="1" x14ac:dyDescent="0.35">
      <c r="A26" s="142" t="s">
        <v>249</v>
      </c>
      <c r="B26" s="149">
        <v>1900</v>
      </c>
      <c r="C26" s="260"/>
      <c r="D26" s="261">
        <v>65</v>
      </c>
      <c r="E26" s="149">
        <f t="shared" si="0"/>
        <v>123500</v>
      </c>
      <c r="F26" s="211">
        <f t="shared" si="1"/>
        <v>24700</v>
      </c>
      <c r="G26" s="213"/>
      <c r="H26" s="191"/>
      <c r="I26" s="192"/>
    </row>
    <row r="27" spans="1:9" ht="18.75" customHeight="1" x14ac:dyDescent="0.35">
      <c r="A27" s="142" t="s">
        <v>250</v>
      </c>
      <c r="B27" s="149">
        <v>1900</v>
      </c>
      <c r="C27" s="261">
        <v>20</v>
      </c>
      <c r="D27" s="260"/>
      <c r="E27" s="149">
        <f t="shared" si="0"/>
        <v>38000</v>
      </c>
      <c r="F27" s="211">
        <f t="shared" si="1"/>
        <v>7600</v>
      </c>
      <c r="G27" s="182"/>
      <c r="H27" s="190"/>
      <c r="I27" s="192"/>
    </row>
    <row r="28" spans="1:9" ht="14.25" customHeight="1" x14ac:dyDescent="0.35">
      <c r="A28" s="142" t="s">
        <v>222</v>
      </c>
      <c r="B28" s="149">
        <v>1900</v>
      </c>
      <c r="C28" s="262">
        <v>24</v>
      </c>
      <c r="D28" s="262">
        <v>24</v>
      </c>
      <c r="E28" s="149">
        <f t="shared" si="0"/>
        <v>91200</v>
      </c>
      <c r="F28" s="211">
        <f t="shared" si="1"/>
        <v>18240</v>
      </c>
      <c r="G28" s="182"/>
      <c r="H28" s="190"/>
      <c r="I28" s="192"/>
    </row>
    <row r="29" spans="1:9" x14ac:dyDescent="0.25">
      <c r="A29" s="150" t="s">
        <v>223</v>
      </c>
      <c r="B29" s="149">
        <v>1900</v>
      </c>
      <c r="C29" s="262">
        <v>24</v>
      </c>
      <c r="D29" s="262">
        <v>24</v>
      </c>
      <c r="E29" s="149">
        <f t="shared" si="0"/>
        <v>91200</v>
      </c>
      <c r="F29" s="211">
        <f t="shared" si="1"/>
        <v>18240</v>
      </c>
      <c r="G29" s="182"/>
      <c r="H29" s="190"/>
      <c r="I29" s="190"/>
    </row>
    <row r="30" spans="1:9" x14ac:dyDescent="0.25">
      <c r="A30" s="150" t="s">
        <v>236</v>
      </c>
      <c r="B30" s="151"/>
      <c r="C30" s="262">
        <v>30</v>
      </c>
      <c r="D30" s="262"/>
      <c r="E30" s="149">
        <f t="shared" si="0"/>
        <v>0</v>
      </c>
      <c r="F30" s="211">
        <f t="shared" si="1"/>
        <v>0</v>
      </c>
      <c r="G30" s="182"/>
    </row>
    <row r="31" spans="1:9" s="148" customFormat="1" x14ac:dyDescent="0.25">
      <c r="A31" s="152" t="s">
        <v>252</v>
      </c>
      <c r="B31" s="138"/>
      <c r="C31" s="153"/>
      <c r="D31" s="153"/>
      <c r="E31" s="154">
        <f>SUM(E24:E30)</f>
        <v>343900</v>
      </c>
      <c r="F31" s="154">
        <f>E31*$F$16</f>
        <v>68780</v>
      </c>
      <c r="G31" s="212"/>
    </row>
    <row r="32" spans="1:9" ht="18" customHeight="1" x14ac:dyDescent="0.25">
      <c r="A32" s="143"/>
      <c r="B32" s="142"/>
      <c r="C32" s="144"/>
      <c r="D32" s="145"/>
      <c r="E32" s="140">
        <f t="shared" si="0"/>
        <v>0</v>
      </c>
      <c r="F32" s="140">
        <f t="shared" si="1"/>
        <v>0</v>
      </c>
    </row>
    <row r="33" spans="1:11" ht="18" customHeight="1" x14ac:dyDescent="0.25">
      <c r="A33" s="193"/>
      <c r="B33" s="194"/>
      <c r="C33" s="195"/>
      <c r="D33" s="195"/>
      <c r="E33" s="196"/>
      <c r="F33" s="196"/>
    </row>
    <row r="34" spans="1:11" ht="18.75" customHeight="1" x14ac:dyDescent="0.25">
      <c r="A34" s="197"/>
      <c r="B34" s="196"/>
      <c r="C34" s="195"/>
      <c r="D34" s="195"/>
      <c r="E34" s="196"/>
      <c r="F34" s="196"/>
      <c r="G34" s="16"/>
      <c r="H34" s="16"/>
      <c r="I34" s="16"/>
      <c r="J34" s="16"/>
      <c r="K34" s="16"/>
    </row>
    <row r="35" spans="1:11" ht="18.75" customHeight="1" x14ac:dyDescent="0.25">
      <c r="A35" s="197"/>
      <c r="B35" s="196"/>
      <c r="C35" s="198"/>
      <c r="D35" s="195"/>
      <c r="E35" s="196"/>
      <c r="F35" s="196"/>
    </row>
    <row r="36" spans="1:11" ht="27" customHeight="1" x14ac:dyDescent="0.25">
      <c r="A36" s="197"/>
      <c r="B36" s="196"/>
      <c r="C36" s="199"/>
      <c r="D36" s="195"/>
      <c r="E36" s="196"/>
      <c r="F36" s="196"/>
    </row>
    <row r="37" spans="1:11" ht="18.75" customHeight="1" x14ac:dyDescent="0.25">
      <c r="A37" s="197"/>
      <c r="B37" s="196"/>
      <c r="C37" s="200"/>
      <c r="D37" s="195"/>
      <c r="E37" s="196"/>
      <c r="F37" s="196"/>
    </row>
    <row r="38" spans="1:11" ht="18.75" customHeight="1" x14ac:dyDescent="0.25">
      <c r="A38" s="197"/>
      <c r="B38" s="196"/>
      <c r="C38" s="200"/>
      <c r="D38" s="195"/>
      <c r="E38" s="196"/>
      <c r="F38" s="196"/>
    </row>
    <row r="39" spans="1:11" x14ac:dyDescent="0.25">
      <c r="A39" s="194"/>
      <c r="B39" s="201"/>
      <c r="C39" s="195"/>
      <c r="D39" s="195"/>
      <c r="E39" s="196"/>
      <c r="F39" s="196"/>
    </row>
    <row r="40" spans="1:11" s="148" customFormat="1" x14ac:dyDescent="0.25">
      <c r="A40" s="202"/>
      <c r="B40" s="201"/>
      <c r="C40" s="203"/>
      <c r="D40" s="203"/>
      <c r="E40" s="204"/>
      <c r="F40" s="204"/>
    </row>
    <row r="41" spans="1:11" x14ac:dyDescent="0.25">
      <c r="A41" s="205"/>
      <c r="B41" s="205"/>
      <c r="C41" s="205"/>
      <c r="D41" s="205"/>
      <c r="E41" s="205"/>
      <c r="F41" s="205"/>
    </row>
    <row r="42" spans="1:11" ht="18.75" x14ac:dyDescent="0.3">
      <c r="C42" s="121"/>
    </row>
  </sheetData>
  <sheetProtection selectLockedCells="1"/>
  <customSheetViews>
    <customSheetView guid="{749D43A3-052D-442F-AE88-F6CCB83A1282}">
      <selection activeCell="C29" sqref="C29"/>
      <pageMargins left="0.7" right="0.7" top="0.75" bottom="0.75" header="0.3" footer="0.3"/>
      <pageSetup paperSize="9" orientation="portrait" r:id="rId1"/>
    </customSheetView>
    <customSheetView guid="{E5349645-7714-4437-B9BC-26ED822E5BC5}">
      <selection activeCell="D15" sqref="D15"/>
      <pageMargins left="0.7" right="0.7" top="0.75" bottom="0.75" header="0.3" footer="0.3"/>
      <pageSetup paperSize="9" orientation="portrait" r:id="rId2"/>
    </customSheetView>
    <customSheetView guid="{F38A39FA-EF57-4062-A2AD-F3BEB88C5762}">
      <selection activeCell="D15" sqref="D15"/>
      <pageMargins left="0.7" right="0.7" top="0.75" bottom="0.75" header="0.3" footer="0.3"/>
      <pageSetup paperSize="9" orientation="portrait" r:id="rId3"/>
    </customSheetView>
    <customSheetView guid="{83C69039-3E29-46E1-85FB-B9165E0BFA91}" topLeftCell="A13">
      <selection activeCell="A9" sqref="A9"/>
      <pageMargins left="0.7" right="0.7" top="0.75" bottom="0.75" header="0.3" footer="0.3"/>
      <pageSetup paperSize="9" orientation="portrait" r:id="rId4"/>
    </customSheetView>
    <customSheetView guid="{C1FECEF4-D739-4F39-9B89-CF4C04A77A9B}" topLeftCell="A2">
      <selection activeCell="G20" sqref="G20"/>
      <pageMargins left="0.7" right="0.7" top="0.75" bottom="0.75" header="0.3" footer="0.3"/>
      <pageSetup paperSize="9" orientation="portrait" r:id="rId5"/>
    </customSheetView>
    <customSheetView guid="{1241DC17-BD41-46C5-9DB1-684763A09F24}" topLeftCell="A13">
      <selection activeCell="A9" sqref="A9"/>
      <pageMargins left="0.7" right="0.7" top="0.75" bottom="0.75" header="0.3" footer="0.3"/>
      <pageSetup paperSize="9" orientation="portrait" r:id="rId6"/>
    </customSheetView>
    <customSheetView guid="{B76C0EA9-E79B-4DA2-9ADE-66DB47109F8F}" topLeftCell="A2">
      <selection activeCell="G20" sqref="G20"/>
      <pageMargins left="0.7" right="0.7" top="0.75" bottom="0.75" header="0.3" footer="0.3"/>
      <pageSetup paperSize="9" orientation="portrait" r:id="rId7"/>
    </customSheetView>
    <customSheetView guid="{726FF687-50E0-4F8A-BCCB-6DA9E6D367D4}" topLeftCell="A2">
      <selection activeCell="G20" sqref="G20"/>
      <pageMargins left="0.7" right="0.7" top="0.75" bottom="0.75" header="0.3" footer="0.3"/>
      <pageSetup paperSize="9" orientation="portrait" r:id="rId8"/>
    </customSheetView>
    <customSheetView guid="{BB9ED292-532F-438C-A4A6-F8D66D70E0E7}" topLeftCell="A2">
      <selection activeCell="G20" sqref="G20"/>
      <pageMargins left="0.7" right="0.7" top="0.75" bottom="0.75" header="0.3" footer="0.3"/>
      <pageSetup paperSize="9" orientation="portrait" r:id="rId9"/>
    </customSheetView>
    <customSheetView guid="{7AE955BB-7BF8-4CA4-ABF1-6A0BB53A48AD}">
      <selection activeCell="E15" sqref="E15"/>
      <pageMargins left="0.7" right="0.7" top="0.75" bottom="0.75" header="0.3" footer="0.3"/>
      <pageSetup paperSize="9" orientation="portrait" r:id="rId10"/>
    </customSheetView>
    <customSheetView guid="{43EFFC0A-CCC0-43DD-A273-4AF58757EC00}">
      <selection activeCell="D15" sqref="D15"/>
      <pageMargins left="0.7" right="0.7" top="0.75" bottom="0.75" header="0.3" footer="0.3"/>
      <pageSetup paperSize="9" orientation="portrait" r:id="rId11"/>
    </customSheetView>
    <customSheetView guid="{1283C6B5-B05C-447B-8854-CDB081C03FD4}">
      <selection activeCell="D25" sqref="D25"/>
      <pageMargins left="0.7" right="0.7" top="0.75" bottom="0.75" header="0.3" footer="0.3"/>
      <pageSetup paperSize="9" orientation="portrait" r:id="rId12"/>
    </customSheetView>
    <customSheetView guid="{CB7E9FB3-C7A3-44DE-98E4-19C23B487785}">
      <selection activeCell="C29" sqref="C29"/>
      <pageMargins left="0.7" right="0.7" top="0.75" bottom="0.75" header="0.3" footer="0.3"/>
      <pageSetup paperSize="9" orientation="portrait" r:id="rId13"/>
    </customSheetView>
  </customSheetViews>
  <pageMargins left="0.7" right="0.7" top="0.75" bottom="0.75" header="0.3" footer="0.3"/>
  <pageSetup paperSize="9" orientation="portrait"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80" zoomScaleNormal="80" workbookViewId="0">
      <selection activeCell="L25" sqref="L25"/>
    </sheetView>
  </sheetViews>
  <sheetFormatPr defaultColWidth="11.42578125" defaultRowHeight="23.25" x14ac:dyDescent="0.35"/>
  <cols>
    <col min="1" max="1" width="42.28515625" style="70" customWidth="1"/>
    <col min="2" max="2" width="19.28515625" style="70" customWidth="1"/>
    <col min="3" max="3" width="18.140625" style="70" bestFit="1" customWidth="1"/>
    <col min="4" max="4" width="17.28515625" style="70" bestFit="1" customWidth="1"/>
    <col min="5" max="5" width="24" style="70" bestFit="1" customWidth="1"/>
    <col min="6" max="6" width="17.28515625" style="70" bestFit="1" customWidth="1"/>
    <col min="7" max="7" width="24" style="70" bestFit="1" customWidth="1"/>
    <col min="8" max="8" width="15.7109375" style="70" bestFit="1" customWidth="1"/>
    <col min="9" max="9" width="15.7109375" style="70" customWidth="1"/>
    <col min="10" max="256" width="9.140625" style="70" customWidth="1"/>
    <col min="257" max="16384" width="11.42578125" style="70"/>
  </cols>
  <sheetData>
    <row r="1" spans="1:9" x14ac:dyDescent="0.35">
      <c r="A1" s="75"/>
      <c r="B1" s="353">
        <v>2017</v>
      </c>
      <c r="C1" s="354"/>
      <c r="D1" s="354"/>
      <c r="E1" s="355"/>
      <c r="F1" s="356">
        <v>2016</v>
      </c>
      <c r="G1" s="356"/>
      <c r="H1" s="174"/>
      <c r="I1" s="175"/>
    </row>
    <row r="2" spans="1:9" ht="69.75" x14ac:dyDescent="0.35">
      <c r="A2" s="172" t="s">
        <v>62</v>
      </c>
      <c r="B2" s="173" t="s">
        <v>67</v>
      </c>
      <c r="C2" s="173" t="s">
        <v>68</v>
      </c>
      <c r="D2" s="72" t="s">
        <v>8</v>
      </c>
      <c r="E2" s="72" t="s">
        <v>70</v>
      </c>
      <c r="F2" s="72" t="s">
        <v>8</v>
      </c>
      <c r="G2" s="72" t="s">
        <v>70</v>
      </c>
      <c r="H2" s="173" t="s">
        <v>377</v>
      </c>
      <c r="I2" s="173" t="s">
        <v>343</v>
      </c>
    </row>
    <row r="3" spans="1:9" x14ac:dyDescent="0.35">
      <c r="A3" s="71" t="s">
        <v>244</v>
      </c>
      <c r="B3" s="73">
        <f>'1. studieår'!T24+'1. studieår'!T27+'1. studieår'!T26</f>
        <v>3786</v>
      </c>
      <c r="C3" s="73">
        <f>'1. studieår'!AB24-'1. studieår'!T24</f>
        <v>384.61538461538476</v>
      </c>
      <c r="D3" s="73">
        <f>'1. studieår'!AC24+'1. studieår'!U28</f>
        <v>5505853.8719999995</v>
      </c>
      <c r="E3" s="73">
        <f>D3*0.3</f>
        <v>1651756.1615999998</v>
      </c>
      <c r="F3" s="74">
        <f>'[1]Oppsummering '!$D$3</f>
        <v>5582653.8719999995</v>
      </c>
      <c r="G3" s="73">
        <f>F3*0.3</f>
        <v>1674796.1615999998</v>
      </c>
      <c r="H3" s="73">
        <f>B3+C3</f>
        <v>4170.6153846153848</v>
      </c>
      <c r="I3" s="73">
        <f>'[2]Oppsummering '!$H$3</f>
        <v>4210</v>
      </c>
    </row>
    <row r="4" spans="1:9" x14ac:dyDescent="0.35">
      <c r="A4" s="71" t="s">
        <v>63</v>
      </c>
      <c r="B4" s="73">
        <f>'2. studieår'!V29</f>
        <v>2191.4285714285711</v>
      </c>
      <c r="C4" s="73">
        <f>'2. studieår'!AD29-'2. studieår'!V29</f>
        <v>221.53846153846189</v>
      </c>
      <c r="D4" s="73">
        <f>'2. studieår'!AE29</f>
        <v>4435628.5714285709</v>
      </c>
      <c r="E4" s="73">
        <f>D4*0.3</f>
        <v>1330688.5714285711</v>
      </c>
      <c r="F4" s="74">
        <f>'[1]Oppsummering '!$D$4</f>
        <v>4667485.7142857146</v>
      </c>
      <c r="G4" s="73">
        <f>F4*0.3</f>
        <v>1400245.7142857143</v>
      </c>
      <c r="H4" s="73">
        <f>B4+C4</f>
        <v>2412.967032967033</v>
      </c>
      <c r="I4" s="73">
        <f>'[2]Oppsummering '!$H$4</f>
        <v>2534.43956043956</v>
      </c>
    </row>
    <row r="5" spans="1:9" x14ac:dyDescent="0.35">
      <c r="A5" s="71" t="s">
        <v>64</v>
      </c>
      <c r="B5" s="73">
        <f>'3. studieår'!T27</f>
        <v>1940</v>
      </c>
      <c r="C5" s="73">
        <f>'3. studieår'!AB27-'3. studieår'!T27</f>
        <v>330.76923076923094</v>
      </c>
      <c r="D5" s="73">
        <f>'3. studieår'!AC27</f>
        <v>4389000</v>
      </c>
      <c r="E5" s="73">
        <f>D5*0.3</f>
        <v>1316700</v>
      </c>
      <c r="F5" s="74">
        <f>'[1]Oppsummering '!$D$5</f>
        <v>4467000</v>
      </c>
      <c r="G5" s="73">
        <f>F5*0.3</f>
        <v>1340100</v>
      </c>
      <c r="H5" s="73">
        <f>B5+C5</f>
        <v>2270.7692307692309</v>
      </c>
      <c r="I5" s="73">
        <f>'[2]Oppsummering '!$H$5</f>
        <v>2090.7692307692309</v>
      </c>
    </row>
    <row r="6" spans="1:9" x14ac:dyDescent="0.35">
      <c r="A6" s="71" t="s">
        <v>65</v>
      </c>
      <c r="B6" s="73">
        <f>'4. studieår'!T32</f>
        <v>1648</v>
      </c>
      <c r="C6" s="73">
        <f>'4. studieår'!AB32-'4. studieår'!T32</f>
        <v>192.30769230769238</v>
      </c>
      <c r="D6" s="73">
        <f>'4. studieår'!AC32</f>
        <v>3549600</v>
      </c>
      <c r="E6" s="73">
        <f>D6*0.3</f>
        <v>1064880</v>
      </c>
      <c r="F6" s="74">
        <f>'[1]Oppsummering '!$D$6</f>
        <v>3471600</v>
      </c>
      <c r="G6" s="73">
        <f>F6*0.3</f>
        <v>1041480</v>
      </c>
      <c r="H6" s="73">
        <f>B6+C6</f>
        <v>1840.3076923076924</v>
      </c>
      <c r="I6" s="73">
        <f>'[2]Oppsummering '!$H$6</f>
        <v>1800.3076923076924</v>
      </c>
    </row>
    <row r="7" spans="1:9" x14ac:dyDescent="0.35">
      <c r="A7" s="71" t="s">
        <v>57</v>
      </c>
      <c r="B7" s="73">
        <f>Valgemner!F94</f>
        <v>1426</v>
      </c>
      <c r="C7" s="73"/>
      <c r="D7" s="73">
        <f>Valgemner!G94</f>
        <v>2823600</v>
      </c>
      <c r="E7" s="73">
        <f>D7*0.3</f>
        <v>847080</v>
      </c>
      <c r="F7" s="73">
        <f>'[1]Oppsummering '!$D$7</f>
        <v>2739750</v>
      </c>
      <c r="G7" s="73">
        <f>F7*0.3</f>
        <v>821925</v>
      </c>
      <c r="H7" s="73">
        <f>B7+C7</f>
        <v>1426</v>
      </c>
      <c r="I7" s="73">
        <f>'[2]Oppsummering '!$H$7</f>
        <v>1383</v>
      </c>
    </row>
    <row r="8" spans="1:9" x14ac:dyDescent="0.35">
      <c r="A8" s="71"/>
      <c r="B8" s="73"/>
      <c r="C8" s="73"/>
      <c r="D8" s="73"/>
      <c r="E8" s="73"/>
      <c r="F8" s="73"/>
      <c r="H8" s="73"/>
      <c r="I8" s="73"/>
    </row>
    <row r="9" spans="1:9" x14ac:dyDescent="0.35">
      <c r="A9" s="71" t="s">
        <v>58</v>
      </c>
      <c r="B9" s="73"/>
      <c r="C9" s="73"/>
      <c r="D9" s="73">
        <f>Diverse!C4</f>
        <v>500000</v>
      </c>
      <c r="E9" s="73">
        <f>D9*0.3</f>
        <v>150000</v>
      </c>
      <c r="F9" s="73">
        <f>'[1]Oppsummering '!$D$9</f>
        <v>500000</v>
      </c>
      <c r="G9" s="73">
        <f>F9*0.3</f>
        <v>150000</v>
      </c>
      <c r="H9" s="73"/>
      <c r="I9" s="73"/>
    </row>
    <row r="10" spans="1:9" x14ac:dyDescent="0.35">
      <c r="A10" s="71" t="s">
        <v>281</v>
      </c>
      <c r="B10" s="73"/>
      <c r="C10" s="73"/>
      <c r="D10" s="73">
        <f>Diverse!C5</f>
        <v>577500</v>
      </c>
      <c r="E10" s="73">
        <f>D10*0.2</f>
        <v>115500</v>
      </c>
      <c r="F10" s="73">
        <f>'[1]Oppsummering '!$D$10</f>
        <v>577500</v>
      </c>
      <c r="G10" s="73">
        <f>F10*0.2</f>
        <v>115500</v>
      </c>
      <c r="H10" s="73"/>
      <c r="I10" s="73"/>
    </row>
    <row r="11" spans="1:9" x14ac:dyDescent="0.35">
      <c r="A11" s="71" t="s">
        <v>59</v>
      </c>
      <c r="B11" s="73"/>
      <c r="C11" s="73"/>
      <c r="D11" s="73">
        <f>Diverse!C6</f>
        <v>343900</v>
      </c>
      <c r="E11" s="73">
        <f>D11*0.3</f>
        <v>103170</v>
      </c>
      <c r="F11" s="73">
        <f>'[1]Oppsummering '!$D$11</f>
        <v>343900</v>
      </c>
      <c r="G11" s="73">
        <f>F11*0.3</f>
        <v>103170</v>
      </c>
      <c r="H11" s="73"/>
      <c r="I11" s="73"/>
    </row>
    <row r="12" spans="1:9" x14ac:dyDescent="0.35">
      <c r="A12" s="71" t="s">
        <v>60</v>
      </c>
      <c r="B12" s="263">
        <f>(550*15/5)+(45*30/5)</f>
        <v>1920</v>
      </c>
      <c r="C12" s="73"/>
      <c r="D12" s="73">
        <f>B12*273.2*5</f>
        <v>2622720</v>
      </c>
      <c r="E12" s="73">
        <f>D12*0.7</f>
        <v>1835904</v>
      </c>
      <c r="F12" s="73">
        <f>'[1]Oppsummering '!$D$12</f>
        <v>2663700</v>
      </c>
      <c r="G12" s="73">
        <f>F12*0.7</f>
        <v>1864589.9999999998</v>
      </c>
      <c r="H12" s="130"/>
      <c r="I12" s="130"/>
    </row>
    <row r="13" spans="1:9" x14ac:dyDescent="0.35">
      <c r="A13" s="71" t="s">
        <v>61</v>
      </c>
      <c r="B13" s="73"/>
      <c r="C13" s="73"/>
      <c r="D13" s="73">
        <f>Diverse!C8</f>
        <v>288000</v>
      </c>
      <c r="E13" s="73">
        <f>D13*0.4</f>
        <v>115200</v>
      </c>
      <c r="F13" s="73">
        <f>'[1]Oppsummering '!$D$13</f>
        <v>343000</v>
      </c>
      <c r="G13" s="73">
        <f>F13*0.3</f>
        <v>102900</v>
      </c>
      <c r="H13" s="73"/>
      <c r="I13" s="73"/>
    </row>
    <row r="14" spans="1:9" ht="23.45" x14ac:dyDescent="0.45">
      <c r="A14" s="157" t="s">
        <v>224</v>
      </c>
      <c r="B14" s="73"/>
      <c r="C14" s="73"/>
      <c r="D14" s="73">
        <f>Diverse!C9</f>
        <v>0</v>
      </c>
      <c r="E14" s="73">
        <f>D14</f>
        <v>0</v>
      </c>
      <c r="F14" s="73">
        <f>'[1]Oppsummering '!$D$14</f>
        <v>260000</v>
      </c>
      <c r="G14" s="207">
        <f>F14</f>
        <v>260000</v>
      </c>
      <c r="H14" s="73"/>
      <c r="I14" s="73"/>
    </row>
    <row r="15" spans="1:9" ht="23.45" x14ac:dyDescent="0.45">
      <c r="A15" s="157" t="s">
        <v>232</v>
      </c>
      <c r="B15" s="73"/>
      <c r="C15" s="73"/>
      <c r="D15" s="73">
        <f>Diverse!C10</f>
        <v>260000</v>
      </c>
      <c r="E15" s="73">
        <f>D15*0.4</f>
        <v>104000</v>
      </c>
      <c r="F15" s="73">
        <f>'[1]Oppsummering '!$D$15</f>
        <v>260000</v>
      </c>
      <c r="G15" s="73">
        <f>F15*0.4</f>
        <v>104000</v>
      </c>
      <c r="H15" s="73"/>
      <c r="I15" s="73"/>
    </row>
    <row r="16" spans="1:9" x14ac:dyDescent="0.35">
      <c r="A16" s="157" t="s">
        <v>376</v>
      </c>
      <c r="B16" s="73"/>
      <c r="C16" s="73"/>
      <c r="D16" s="73">
        <f>Diverse!C11</f>
        <v>380640</v>
      </c>
      <c r="E16" s="73"/>
      <c r="F16" s="73"/>
      <c r="G16" s="73"/>
      <c r="H16" s="73"/>
      <c r="I16" s="73"/>
    </row>
    <row r="17" spans="1:9" ht="23.45" x14ac:dyDescent="0.45">
      <c r="A17" s="131" t="s">
        <v>69</v>
      </c>
      <c r="B17" s="71"/>
      <c r="C17" s="71"/>
      <c r="D17" s="178">
        <f>SUM(D3:D16)</f>
        <v>25676442.443428569</v>
      </c>
      <c r="E17" s="178">
        <f t="shared" ref="E17:G17" si="0">SUM(E3:E16)</f>
        <v>8634878.7330285721</v>
      </c>
      <c r="F17" s="178">
        <f t="shared" si="0"/>
        <v>25876589.586285714</v>
      </c>
      <c r="G17" s="178">
        <f t="shared" si="0"/>
        <v>8978706.8758857138</v>
      </c>
      <c r="H17" s="71"/>
      <c r="I17" s="71"/>
    </row>
    <row r="18" spans="1:9" ht="23.45" x14ac:dyDescent="0.45">
      <c r="D18" s="207"/>
      <c r="F18" s="207"/>
    </row>
    <row r="19" spans="1:9" x14ac:dyDescent="0.35">
      <c r="A19" s="70" t="s">
        <v>245</v>
      </c>
    </row>
  </sheetData>
  <sheetProtection selectLockedCells="1"/>
  <customSheetViews>
    <customSheetView guid="{749D43A3-052D-442F-AE88-F6CCB83A1282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"/>
      <headerFooter>
        <oddHeader>&amp;CUndervisningsbudsjett 2013 oppsummert</oddHeader>
      </headerFooter>
    </customSheetView>
    <customSheetView guid="{E5349645-7714-4437-B9BC-26ED822E5BC5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"/>
      <headerFooter>
        <oddHeader>&amp;CUndervisningsbudsjett 2013 oppsummert</oddHeader>
      </headerFooter>
    </customSheetView>
    <customSheetView guid="{F38A39FA-EF57-4062-A2AD-F3BEB88C5762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3"/>
      <headerFooter>
        <oddHeader>&amp;CUndervisningsbudsjett 2013 oppsummert</oddHeader>
      </headerFooter>
    </customSheetView>
    <customSheetView guid="{83C69039-3E29-46E1-85FB-B9165E0BFA91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59" orientation="landscape" r:id="rId4"/>
      <headerFooter>
        <oddHeader>&amp;CUndervisningsbudsjett 2013 oppsummert</oddHeader>
      </headerFooter>
    </customSheetView>
    <customSheetView guid="{C1FECEF4-D739-4F39-9B89-CF4C04A77A9B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5"/>
      <headerFooter>
        <oddHeader>&amp;CUndervisningsbudsjett 2013 oppsummert</oddHeader>
      </headerFooter>
    </customSheetView>
    <customSheetView guid="{1241DC17-BD41-46C5-9DB1-684763A09F24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59" orientation="landscape" r:id="rId6"/>
      <headerFooter>
        <oddHeader>&amp;CUndervisningsbudsjett 2013 oppsummert</oddHeader>
      </headerFooter>
    </customSheetView>
    <customSheetView guid="{91227156-ECBD-48FD-8964-78F3608400FC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7"/>
      <headerFooter>
        <oddHeader>&amp;CUndervisningsbudsjett 2013 oppsummert</oddHeader>
      </headerFooter>
    </customSheetView>
    <customSheetView guid="{B76C0EA9-E79B-4DA2-9ADE-66DB47109F8F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8"/>
      <headerFooter>
        <oddHeader>&amp;CUndervisningsbudsjett 2013 oppsummert</oddHeader>
      </headerFooter>
    </customSheetView>
    <customSheetView guid="{726FF687-50E0-4F8A-BCCB-6DA9E6D367D4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9"/>
      <headerFooter>
        <oddHeader>&amp;CUndervisningsbudsjett 2013 oppsummert</oddHeader>
      </headerFooter>
    </customSheetView>
    <customSheetView guid="{BB9ED292-532F-438C-A4A6-F8D66D70E0E7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0"/>
      <headerFooter>
        <oddHeader>&amp;CUndervisningsbudsjett 2013 oppsummert</oddHeader>
      </headerFooter>
    </customSheetView>
    <customSheetView guid="{7AE955BB-7BF8-4CA4-ABF1-6A0BB53A48AD}" scale="80" fitToPage="1">
      <selection activeCell="F16" sqref="F16"/>
      <pageMargins left="0.70866141732283472" right="0.70866141732283472" top="0.78740157480314965" bottom="0.78740157480314965" header="0.31496062992125984" footer="0.31496062992125984"/>
      <pageSetup paperSize="9" scale="85" orientation="portrait" r:id="rId11"/>
      <headerFooter>
        <oddHeader>&amp;CUndervisningsbudsjett 2013 oppsummert</oddHeader>
      </headerFooter>
    </customSheetView>
    <customSheetView guid="{43EFFC0A-CCC0-43DD-A273-4AF58757EC00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2"/>
      <headerFooter>
        <oddHeader>&amp;CUndervisningsbudsjett 2013 oppsummert</oddHeader>
      </headerFooter>
    </customSheetView>
    <customSheetView guid="{1283C6B5-B05C-447B-8854-CDB081C03FD4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3"/>
      <headerFooter>
        <oddHeader>&amp;CUndervisningsbudsjett 2013 oppsummert</oddHeader>
      </headerFooter>
    </customSheetView>
    <customSheetView guid="{CB7E9FB3-C7A3-44DE-98E4-19C23B487785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4"/>
      <headerFooter>
        <oddHeader>&amp;CUndervisningsbudsjett 2013 oppsummert</oddHeader>
      </headerFooter>
    </customSheetView>
  </customSheetViews>
  <mergeCells count="2">
    <mergeCell ref="B1:E1"/>
    <mergeCell ref="F1:G1"/>
  </mergeCells>
  <pageMargins left="0.70866141732283472" right="0.70866141732283472" top="0.78740157480314965" bottom="0.78740157480314965" header="0.31496062992125984" footer="0.31496062992125984"/>
  <pageSetup paperSize="9" scale="58" orientation="landscape" r:id="rId15"/>
  <headerFooter>
    <oddHeader>&amp;CUndervisningsbudsjett 2013 oppsummert</oddHeader>
  </headerFooter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7"/>
  <sheetViews>
    <sheetView workbookViewId="0">
      <selection activeCell="L13" sqref="L13"/>
    </sheetView>
  </sheetViews>
  <sheetFormatPr defaultColWidth="11.42578125" defaultRowHeight="15" x14ac:dyDescent="0.25"/>
  <cols>
    <col min="1" max="256" width="9.140625" customWidth="1"/>
  </cols>
  <sheetData>
    <row r="1" spans="1:18" x14ac:dyDescent="0.25">
      <c r="A1" s="29"/>
      <c r="B1" s="30"/>
      <c r="C1" s="31"/>
      <c r="D1" s="30"/>
      <c r="E1" s="30"/>
      <c r="F1" s="30"/>
      <c r="G1" s="30"/>
      <c r="H1" s="32"/>
      <c r="I1" s="33"/>
      <c r="J1" s="34"/>
      <c r="K1" s="35" t="s">
        <v>71</v>
      </c>
      <c r="L1" s="36"/>
      <c r="M1" s="36"/>
      <c r="N1" s="36"/>
      <c r="O1" s="36"/>
      <c r="P1" s="36"/>
      <c r="Q1" s="36"/>
      <c r="R1" s="36"/>
    </row>
    <row r="2" spans="1:18" x14ac:dyDescent="0.25">
      <c r="A2" s="37"/>
      <c r="B2" s="38"/>
      <c r="C2" s="37"/>
      <c r="D2" s="37"/>
      <c r="E2" s="37"/>
      <c r="F2" s="37"/>
      <c r="G2" s="39"/>
      <c r="H2" s="33"/>
      <c r="I2" s="30"/>
      <c r="J2" s="40" t="s">
        <v>73</v>
      </c>
      <c r="K2" s="41">
        <v>2015</v>
      </c>
      <c r="L2" s="41">
        <v>2016</v>
      </c>
      <c r="M2" s="41">
        <v>2017</v>
      </c>
      <c r="N2" s="41">
        <v>2018</v>
      </c>
      <c r="O2" s="41">
        <v>2019</v>
      </c>
      <c r="P2" s="41">
        <v>2020</v>
      </c>
      <c r="Q2" s="42"/>
      <c r="R2" s="30"/>
    </row>
    <row r="3" spans="1:18" ht="22.5" x14ac:dyDescent="0.25">
      <c r="A3" s="43" t="s">
        <v>74</v>
      </c>
      <c r="B3" s="43" t="s">
        <v>75</v>
      </c>
      <c r="C3" s="43" t="s">
        <v>76</v>
      </c>
      <c r="D3" s="43" t="s">
        <v>77</v>
      </c>
      <c r="E3" s="43" t="s">
        <v>78</v>
      </c>
      <c r="F3" s="43" t="s">
        <v>72</v>
      </c>
      <c r="G3" s="43" t="s">
        <v>79</v>
      </c>
      <c r="H3" s="43" t="s">
        <v>80</v>
      </c>
      <c r="I3" s="43" t="s">
        <v>81</v>
      </c>
      <c r="J3" s="44"/>
      <c r="K3" s="46" t="s">
        <v>82</v>
      </c>
      <c r="L3" s="45" t="s">
        <v>82</v>
      </c>
      <c r="M3" s="45" t="s">
        <v>82</v>
      </c>
      <c r="N3" s="45" t="s">
        <v>82</v>
      </c>
      <c r="O3" s="47" t="s">
        <v>82</v>
      </c>
      <c r="P3" s="47" t="s">
        <v>82</v>
      </c>
      <c r="Q3" s="42"/>
      <c r="R3" s="30"/>
    </row>
    <row r="4" spans="1:18" x14ac:dyDescent="0.25">
      <c r="A4" s="214">
        <v>120040</v>
      </c>
      <c r="B4" s="215">
        <v>0</v>
      </c>
      <c r="C4" s="52" t="s">
        <v>83</v>
      </c>
      <c r="D4" s="214"/>
      <c r="E4" s="214">
        <v>66</v>
      </c>
      <c r="F4" s="214"/>
      <c r="G4" s="216"/>
      <c r="H4" s="217"/>
      <c r="I4" s="49"/>
      <c r="J4" s="50"/>
      <c r="K4" s="51"/>
      <c r="L4" s="51">
        <f>'1. studieår'!AE25</f>
        <v>20</v>
      </c>
      <c r="M4" s="51"/>
      <c r="N4" s="51"/>
      <c r="O4" s="51"/>
      <c r="P4" s="51"/>
      <c r="Q4" s="42"/>
      <c r="R4" s="30"/>
    </row>
    <row r="5" spans="1:18" x14ac:dyDescent="0.25">
      <c r="A5" s="214">
        <v>120040</v>
      </c>
      <c r="B5" s="215">
        <v>0</v>
      </c>
      <c r="C5" s="52" t="s">
        <v>83</v>
      </c>
      <c r="D5" s="214"/>
      <c r="E5" s="214">
        <v>72</v>
      </c>
      <c r="F5" s="214"/>
      <c r="G5" s="216"/>
      <c r="H5" s="217"/>
      <c r="I5" s="53" t="s">
        <v>88</v>
      </c>
      <c r="J5" s="50"/>
      <c r="K5" s="51"/>
      <c r="L5" s="51">
        <f>'1. studieår'!T27</f>
        <v>1728</v>
      </c>
      <c r="M5" s="51"/>
      <c r="N5" s="51"/>
      <c r="O5" s="51"/>
      <c r="P5" s="51"/>
      <c r="Q5" s="42"/>
      <c r="R5" s="30"/>
    </row>
    <row r="6" spans="1:18" x14ac:dyDescent="0.25">
      <c r="A6" s="214">
        <v>120040</v>
      </c>
      <c r="B6" s="215">
        <v>0</v>
      </c>
      <c r="C6" s="52" t="s">
        <v>84</v>
      </c>
      <c r="D6" s="214"/>
      <c r="E6" s="214">
        <v>66</v>
      </c>
      <c r="F6" s="214"/>
      <c r="G6" s="216"/>
      <c r="H6" s="217"/>
      <c r="I6" s="49"/>
      <c r="J6" s="50"/>
      <c r="K6" s="51"/>
      <c r="L6" s="51">
        <f>'1. studieår'!AF25</f>
        <v>2000</v>
      </c>
      <c r="M6" s="51"/>
      <c r="N6" s="51"/>
      <c r="O6" s="51"/>
      <c r="P6" s="51"/>
      <c r="Q6" s="42"/>
      <c r="R6" s="30"/>
    </row>
    <row r="7" spans="1:18" x14ac:dyDescent="0.25">
      <c r="A7" s="214">
        <v>120040</v>
      </c>
      <c r="B7" s="215">
        <v>0</v>
      </c>
      <c r="C7" s="52" t="s">
        <v>85</v>
      </c>
      <c r="D7" s="214"/>
      <c r="E7" s="214">
        <v>66</v>
      </c>
      <c r="F7" s="214"/>
      <c r="G7" s="216"/>
      <c r="H7" s="217"/>
      <c r="I7" s="49"/>
      <c r="J7" s="50"/>
      <c r="K7" s="51"/>
      <c r="L7" s="51">
        <f>'1. studieår'!AH25</f>
        <v>0</v>
      </c>
      <c r="M7" s="51"/>
      <c r="N7" s="51"/>
      <c r="O7" s="51"/>
      <c r="P7" s="51"/>
      <c r="Q7" s="42"/>
      <c r="R7" s="30"/>
    </row>
    <row r="8" spans="1:18" x14ac:dyDescent="0.25">
      <c r="A8" s="214">
        <v>120040</v>
      </c>
      <c r="B8" s="215">
        <v>0</v>
      </c>
      <c r="C8" s="52" t="s">
        <v>86</v>
      </c>
      <c r="D8" s="214"/>
      <c r="E8" s="214">
        <v>66</v>
      </c>
      <c r="F8" s="214"/>
      <c r="G8" s="216"/>
      <c r="H8" s="217"/>
      <c r="I8" s="49"/>
      <c r="J8" s="50"/>
      <c r="K8" s="51"/>
      <c r="L8" s="51">
        <f>'1. studieår'!AI25</f>
        <v>2500</v>
      </c>
      <c r="M8" s="51"/>
      <c r="N8" s="51"/>
      <c r="O8" s="51"/>
      <c r="P8" s="51"/>
      <c r="Q8" s="42"/>
      <c r="R8" s="30"/>
    </row>
    <row r="9" spans="1:18" x14ac:dyDescent="0.25">
      <c r="A9" s="214">
        <v>120040</v>
      </c>
      <c r="B9" s="215">
        <v>0</v>
      </c>
      <c r="C9" s="52" t="s">
        <v>87</v>
      </c>
      <c r="D9" s="214"/>
      <c r="E9" s="214">
        <v>66</v>
      </c>
      <c r="F9" s="214"/>
      <c r="G9" s="216"/>
      <c r="H9" s="217"/>
      <c r="I9" s="49"/>
      <c r="J9" s="50"/>
      <c r="K9" s="51"/>
      <c r="L9" s="51">
        <f>'1. studieår'!AJ24</f>
        <v>0</v>
      </c>
      <c r="M9" s="51"/>
      <c r="N9" s="51"/>
      <c r="O9" s="51"/>
      <c r="P9" s="51"/>
      <c r="Q9" s="42"/>
      <c r="R9" s="30"/>
    </row>
    <row r="10" spans="1:18" x14ac:dyDescent="0.25">
      <c r="A10" s="214">
        <v>120040</v>
      </c>
      <c r="B10" s="215">
        <v>0</v>
      </c>
      <c r="C10" s="52" t="s">
        <v>89</v>
      </c>
      <c r="D10" s="214"/>
      <c r="E10" s="214">
        <v>66</v>
      </c>
      <c r="F10" s="214"/>
      <c r="G10" s="216"/>
      <c r="H10" s="217"/>
      <c r="I10" s="49"/>
      <c r="J10" s="50"/>
      <c r="K10" s="51"/>
      <c r="L10" s="51">
        <f>'2. studieår'!AG30</f>
        <v>140</v>
      </c>
      <c r="M10" s="51"/>
      <c r="N10" s="51"/>
      <c r="O10" s="51"/>
      <c r="P10" s="51"/>
      <c r="Q10" s="42"/>
      <c r="R10" s="30"/>
    </row>
    <row r="11" spans="1:18" x14ac:dyDescent="0.25">
      <c r="A11" s="214">
        <v>120040</v>
      </c>
      <c r="B11" s="215">
        <v>0</v>
      </c>
      <c r="C11" s="52" t="s">
        <v>90</v>
      </c>
      <c r="D11" s="214"/>
      <c r="E11" s="214">
        <v>66</v>
      </c>
      <c r="F11" s="214"/>
      <c r="G11" s="216"/>
      <c r="H11" s="217"/>
      <c r="I11" s="49"/>
      <c r="J11" s="50"/>
      <c r="K11" s="51"/>
      <c r="L11" s="51">
        <f>'2. studieår'!AH30</f>
        <v>7052.2619047619037</v>
      </c>
      <c r="M11" s="51"/>
      <c r="N11" s="51"/>
      <c r="O11" s="51"/>
      <c r="P11" s="51"/>
      <c r="Q11" s="42"/>
      <c r="R11" s="30"/>
    </row>
    <row r="12" spans="1:18" x14ac:dyDescent="0.25">
      <c r="A12" s="214">
        <v>120040</v>
      </c>
      <c r="B12" s="215">
        <v>0</v>
      </c>
      <c r="C12" s="52" t="s">
        <v>91</v>
      </c>
      <c r="D12" s="214"/>
      <c r="E12" s="214">
        <v>66</v>
      </c>
      <c r="F12" s="214"/>
      <c r="G12" s="216"/>
      <c r="H12" s="217"/>
      <c r="I12" s="49"/>
      <c r="J12" s="50"/>
      <c r="K12" s="51"/>
      <c r="L12" s="51">
        <f>'2. studieår'!AJ30</f>
        <v>2000</v>
      </c>
      <c r="M12" s="51"/>
      <c r="N12" s="51"/>
      <c r="O12" s="51"/>
      <c r="P12" s="51"/>
      <c r="Q12" s="42"/>
      <c r="R12" s="30"/>
    </row>
    <row r="13" spans="1:18" x14ac:dyDescent="0.25">
      <c r="A13" s="214">
        <v>120040</v>
      </c>
      <c r="B13" s="215">
        <v>0</v>
      </c>
      <c r="C13" s="52" t="s">
        <v>92</v>
      </c>
      <c r="D13" s="214"/>
      <c r="E13" s="214">
        <v>55</v>
      </c>
      <c r="F13" s="214"/>
      <c r="G13" s="216"/>
      <c r="H13" s="217"/>
      <c r="I13" s="49"/>
      <c r="J13" s="50"/>
      <c r="K13" s="51"/>
      <c r="L13" s="51">
        <f>'2. studieår'!AL30</f>
        <v>1440</v>
      </c>
      <c r="M13" s="51"/>
      <c r="N13" s="51"/>
      <c r="O13" s="51"/>
      <c r="P13" s="51"/>
    </row>
    <row r="14" spans="1:18" x14ac:dyDescent="0.25">
      <c r="A14" s="214">
        <v>120040</v>
      </c>
      <c r="B14" s="215">
        <v>0</v>
      </c>
      <c r="C14" s="52" t="s">
        <v>93</v>
      </c>
      <c r="D14" s="214"/>
      <c r="E14" s="214">
        <v>66</v>
      </c>
      <c r="F14" s="214"/>
      <c r="G14" s="216"/>
      <c r="H14" s="217"/>
      <c r="I14" s="49"/>
      <c r="J14" s="50"/>
      <c r="K14" s="51"/>
      <c r="L14" s="51"/>
      <c r="M14" s="51"/>
      <c r="N14" s="51"/>
      <c r="O14" s="51"/>
      <c r="P14" s="51"/>
    </row>
    <row r="15" spans="1:18" x14ac:dyDescent="0.25">
      <c r="A15" s="214">
        <v>120040</v>
      </c>
      <c r="B15" s="215">
        <v>0</v>
      </c>
      <c r="C15" s="52" t="s">
        <v>94</v>
      </c>
      <c r="D15" s="214"/>
      <c r="E15" s="214">
        <v>66</v>
      </c>
      <c r="F15" s="214"/>
      <c r="G15" s="216"/>
      <c r="H15" s="217"/>
      <c r="I15" s="49"/>
      <c r="J15" s="50"/>
      <c r="K15" s="51"/>
      <c r="L15" s="51">
        <f>'3. studieår'!AE28</f>
        <v>80</v>
      </c>
      <c r="M15" s="51"/>
      <c r="N15" s="51"/>
      <c r="O15" s="51"/>
      <c r="P15" s="51"/>
    </row>
    <row r="16" spans="1:18" x14ac:dyDescent="0.25">
      <c r="A16" s="214">
        <v>120040</v>
      </c>
      <c r="B16" s="215">
        <v>0</v>
      </c>
      <c r="C16" s="52" t="s">
        <v>95</v>
      </c>
      <c r="D16" s="214"/>
      <c r="E16" s="214">
        <v>66</v>
      </c>
      <c r="F16" s="214"/>
      <c r="G16" s="216"/>
      <c r="H16" s="217"/>
      <c r="I16" s="49"/>
      <c r="J16" s="50"/>
      <c r="K16" s="51"/>
      <c r="L16" s="51">
        <f>'3. studieår'!AF28</f>
        <v>3600</v>
      </c>
      <c r="M16" s="51"/>
      <c r="N16" s="51"/>
      <c r="O16" s="51"/>
      <c r="P16" s="51"/>
    </row>
    <row r="17" spans="1:16" x14ac:dyDescent="0.25">
      <c r="A17" s="214">
        <v>120040</v>
      </c>
      <c r="B17" s="215">
        <v>0</v>
      </c>
      <c r="C17" s="52" t="s">
        <v>96</v>
      </c>
      <c r="D17" s="214"/>
      <c r="E17" s="214">
        <v>66</v>
      </c>
      <c r="F17" s="214"/>
      <c r="G17" s="216"/>
      <c r="H17" s="217"/>
      <c r="I17" s="49"/>
      <c r="J17" s="50"/>
      <c r="K17" s="51"/>
      <c r="L17" s="51">
        <f>'3. studieår'!AH28</f>
        <v>0</v>
      </c>
      <c r="M17" s="51"/>
      <c r="N17" s="51"/>
      <c r="O17" s="51"/>
      <c r="P17" s="51"/>
    </row>
    <row r="18" spans="1:16" ht="14.45" x14ac:dyDescent="0.3">
      <c r="A18" s="214">
        <v>120040</v>
      </c>
      <c r="B18" s="215">
        <v>0</v>
      </c>
      <c r="C18" s="52" t="s">
        <v>97</v>
      </c>
      <c r="D18" s="214"/>
      <c r="E18" s="214">
        <v>55</v>
      </c>
      <c r="F18" s="214"/>
      <c r="G18" s="216"/>
      <c r="H18" s="217"/>
      <c r="I18" s="49"/>
      <c r="J18" s="50"/>
      <c r="K18" s="51"/>
      <c r="L18" s="51">
        <f>'3. studieår'!AI28</f>
        <v>2150</v>
      </c>
      <c r="M18" s="51"/>
      <c r="N18" s="51"/>
      <c r="O18" s="51"/>
      <c r="P18" s="51"/>
    </row>
    <row r="19" spans="1:16" ht="14.45" x14ac:dyDescent="0.3">
      <c r="A19" s="214">
        <v>120040</v>
      </c>
      <c r="B19" s="215">
        <v>0</v>
      </c>
      <c r="C19" s="52" t="s">
        <v>98</v>
      </c>
      <c r="D19" s="214"/>
      <c r="E19" s="214">
        <v>66</v>
      </c>
      <c r="F19" s="214"/>
      <c r="G19" s="216"/>
      <c r="H19" s="217"/>
      <c r="I19" s="49"/>
      <c r="J19" s="50"/>
      <c r="K19" s="51"/>
      <c r="L19" s="51">
        <f>'3. studieår'!AJ28</f>
        <v>1400</v>
      </c>
      <c r="M19" s="51"/>
      <c r="N19" s="51"/>
      <c r="O19" s="51"/>
      <c r="P19" s="51"/>
    </row>
    <row r="20" spans="1:16" ht="14.45" x14ac:dyDescent="0.3">
      <c r="A20" s="214">
        <v>120040</v>
      </c>
      <c r="B20" s="215">
        <v>0</v>
      </c>
      <c r="C20" s="52" t="s">
        <v>100</v>
      </c>
      <c r="D20" s="214"/>
      <c r="E20" s="214">
        <v>66</v>
      </c>
      <c r="F20" s="214"/>
      <c r="G20" s="216"/>
      <c r="H20" s="217"/>
      <c r="I20" s="49"/>
      <c r="J20" s="50"/>
      <c r="K20" s="51"/>
      <c r="L20" s="51">
        <f>'4. studieår'!AE33</f>
        <v>170</v>
      </c>
      <c r="M20" s="51"/>
      <c r="N20" s="51"/>
      <c r="O20" s="51"/>
      <c r="P20" s="51"/>
    </row>
    <row r="21" spans="1:16" ht="14.45" x14ac:dyDescent="0.3">
      <c r="A21" s="214">
        <v>120040</v>
      </c>
      <c r="B21" s="215">
        <v>0</v>
      </c>
      <c r="C21" s="52" t="s">
        <v>101</v>
      </c>
      <c r="D21" s="214"/>
      <c r="E21" s="214">
        <v>66</v>
      </c>
      <c r="F21" s="214"/>
      <c r="G21" s="216"/>
      <c r="H21" s="217"/>
      <c r="I21" s="49"/>
      <c r="J21" s="50"/>
      <c r="K21" s="51"/>
      <c r="L21" s="51">
        <f>'4. studieår'!AF33</f>
        <v>4420</v>
      </c>
      <c r="M21" s="51"/>
      <c r="N21" s="51"/>
      <c r="O21" s="51"/>
      <c r="P21" s="51"/>
    </row>
    <row r="22" spans="1:16" ht="14.45" x14ac:dyDescent="0.3">
      <c r="A22" s="214">
        <v>120040</v>
      </c>
      <c r="B22" s="215">
        <v>0</v>
      </c>
      <c r="C22" s="52" t="s">
        <v>102</v>
      </c>
      <c r="D22" s="214"/>
      <c r="E22" s="214">
        <v>66</v>
      </c>
      <c r="F22" s="214"/>
      <c r="G22" s="216"/>
      <c r="H22" s="217"/>
      <c r="I22" s="49"/>
      <c r="J22" s="50"/>
      <c r="K22" s="51"/>
      <c r="L22" s="51">
        <f>'4. studieår'!AH33</f>
        <v>0</v>
      </c>
      <c r="M22" s="51"/>
      <c r="N22" s="51"/>
      <c r="O22" s="51"/>
      <c r="P22" s="51"/>
    </row>
    <row r="23" spans="1:16" ht="14.45" x14ac:dyDescent="0.3">
      <c r="A23" s="214">
        <v>120040</v>
      </c>
      <c r="B23" s="215">
        <v>0</v>
      </c>
      <c r="C23" s="52" t="s">
        <v>103</v>
      </c>
      <c r="D23" s="214"/>
      <c r="E23" s="214">
        <v>55</v>
      </c>
      <c r="F23" s="214"/>
      <c r="G23" s="216"/>
      <c r="H23" s="217"/>
      <c r="I23" s="49"/>
      <c r="J23" s="50"/>
      <c r="K23" s="51"/>
      <c r="L23" s="51">
        <f>'4. studieår'!AJ33</f>
        <v>875</v>
      </c>
      <c r="M23" s="51"/>
      <c r="N23" s="51"/>
      <c r="O23" s="51"/>
      <c r="P23" s="51"/>
    </row>
    <row r="24" spans="1:16" ht="14.45" x14ac:dyDescent="0.3">
      <c r="A24" s="214">
        <v>120040</v>
      </c>
      <c r="B24" s="215">
        <v>0</v>
      </c>
      <c r="C24" s="52" t="s">
        <v>104</v>
      </c>
      <c r="D24" s="214"/>
      <c r="E24" s="214">
        <v>66</v>
      </c>
      <c r="F24" s="214"/>
      <c r="G24" s="216"/>
      <c r="H24" s="217"/>
      <c r="I24" s="49"/>
      <c r="J24" s="50"/>
      <c r="K24" s="51"/>
      <c r="L24" s="51"/>
      <c r="M24" s="51"/>
      <c r="N24" s="51"/>
      <c r="O24" s="51"/>
      <c r="P24" s="51"/>
    </row>
    <row r="25" spans="1:16" ht="14.45" x14ac:dyDescent="0.3">
      <c r="A25" s="214">
        <v>120040</v>
      </c>
      <c r="B25" s="215">
        <v>0</v>
      </c>
      <c r="C25" s="214" t="s">
        <v>275</v>
      </c>
      <c r="D25" s="214"/>
      <c r="E25" s="214">
        <v>66</v>
      </c>
      <c r="F25" s="214"/>
      <c r="G25" s="214"/>
      <c r="H25" s="214"/>
      <c r="I25" s="48"/>
      <c r="J25" s="50"/>
      <c r="K25" s="51"/>
      <c r="L25" s="51">
        <f>Valgemner!I94*5</f>
        <v>1426</v>
      </c>
      <c r="M25" s="51"/>
      <c r="N25" s="51"/>
      <c r="O25" s="51"/>
      <c r="P25" s="51"/>
    </row>
    <row r="26" spans="1:16" x14ac:dyDescent="0.25">
      <c r="A26" s="214">
        <v>120040</v>
      </c>
      <c r="B26" s="215">
        <v>0</v>
      </c>
      <c r="C26" s="214">
        <v>620252</v>
      </c>
      <c r="D26" s="214"/>
      <c r="E26" s="214">
        <v>66</v>
      </c>
      <c r="F26" s="214"/>
      <c r="G26" s="214"/>
      <c r="H26" s="214"/>
      <c r="I26" s="221" t="s">
        <v>333</v>
      </c>
      <c r="J26" s="50"/>
      <c r="K26" s="51"/>
      <c r="L26" s="51"/>
      <c r="M26" s="51"/>
      <c r="N26" s="51"/>
      <c r="O26" s="51"/>
      <c r="P26" s="51"/>
    </row>
    <row r="27" spans="1:16" x14ac:dyDescent="0.25">
      <c r="A27" s="214">
        <v>120040</v>
      </c>
      <c r="B27" s="215">
        <v>0</v>
      </c>
      <c r="C27" s="214">
        <v>620253</v>
      </c>
      <c r="D27" s="214"/>
      <c r="E27" s="214">
        <v>66</v>
      </c>
      <c r="F27" s="214"/>
      <c r="G27" s="214"/>
      <c r="H27" s="214"/>
      <c r="I27" s="48" t="s">
        <v>279</v>
      </c>
      <c r="K27" s="51"/>
      <c r="L27" s="51">
        <f>'Oppsummering '!E12/380</f>
        <v>4831.3263157894735</v>
      </c>
      <c r="M27" s="51"/>
      <c r="N27" s="51"/>
      <c r="O27" s="51"/>
      <c r="P27" s="51"/>
    </row>
    <row r="28" spans="1:16" x14ac:dyDescent="0.25">
      <c r="A28" s="214">
        <v>120040</v>
      </c>
      <c r="B28" s="215">
        <v>0</v>
      </c>
      <c r="C28" s="214">
        <v>612700</v>
      </c>
      <c r="D28" s="214"/>
      <c r="E28" s="214">
        <v>66</v>
      </c>
      <c r="F28" s="214"/>
      <c r="G28" s="214"/>
      <c r="H28" s="214"/>
      <c r="I28" s="48" t="s">
        <v>276</v>
      </c>
      <c r="K28" s="51"/>
      <c r="L28" s="51">
        <f>'Oppsummering '!E9/380</f>
        <v>394.73684210526318</v>
      </c>
      <c r="M28" s="51"/>
      <c r="N28" s="51"/>
      <c r="O28" s="51"/>
      <c r="P28" s="51"/>
    </row>
    <row r="29" spans="1:16" x14ac:dyDescent="0.25">
      <c r="A29" s="214">
        <v>120040</v>
      </c>
      <c r="B29" s="215">
        <v>0</v>
      </c>
      <c r="C29" s="214">
        <v>640000</v>
      </c>
      <c r="D29" s="214"/>
      <c r="E29" s="214">
        <v>66</v>
      </c>
      <c r="F29" s="214"/>
      <c r="G29" s="214"/>
      <c r="H29" s="214"/>
      <c r="I29" s="48" t="s">
        <v>277</v>
      </c>
      <c r="K29" s="51"/>
      <c r="L29" s="51">
        <f>'Oppsummering '!E10/380</f>
        <v>303.94736842105266</v>
      </c>
      <c r="M29" s="51"/>
      <c r="N29" s="51"/>
      <c r="O29" s="51"/>
      <c r="P29" s="51"/>
    </row>
    <row r="30" spans="1:16" x14ac:dyDescent="0.25">
      <c r="A30" s="214">
        <v>120040</v>
      </c>
      <c r="B30" s="215">
        <v>0</v>
      </c>
      <c r="C30" s="214">
        <v>640000</v>
      </c>
      <c r="D30" s="214"/>
      <c r="E30" s="214">
        <v>66</v>
      </c>
      <c r="F30" s="214"/>
      <c r="G30" s="214"/>
      <c r="H30" s="214"/>
      <c r="I30" s="48" t="s">
        <v>278</v>
      </c>
      <c r="K30" s="51"/>
      <c r="L30" s="51">
        <f>'Oppsummering '!E11/380</f>
        <v>271.5</v>
      </c>
      <c r="M30" s="51"/>
      <c r="N30" s="51"/>
      <c r="O30" s="51"/>
      <c r="P30" s="51"/>
    </row>
    <row r="31" spans="1:16" x14ac:dyDescent="0.25">
      <c r="A31" s="214">
        <v>120040</v>
      </c>
      <c r="B31" s="215">
        <v>0</v>
      </c>
      <c r="C31" s="214">
        <v>680000</v>
      </c>
      <c r="D31" s="214"/>
      <c r="E31" s="214">
        <v>66</v>
      </c>
      <c r="F31" s="214"/>
      <c r="G31" s="214"/>
      <c r="H31" s="214"/>
      <c r="I31" s="48" t="s">
        <v>280</v>
      </c>
      <c r="K31" s="51"/>
      <c r="L31" s="51">
        <f>'Oppsummering '!E13/380</f>
        <v>303.15789473684208</v>
      </c>
      <c r="M31" s="51"/>
      <c r="N31" s="51"/>
      <c r="O31" s="51"/>
      <c r="P31" s="51"/>
    </row>
    <row r="32" spans="1:16" x14ac:dyDescent="0.25">
      <c r="A32" s="214">
        <v>120100</v>
      </c>
      <c r="B32" s="215">
        <v>0</v>
      </c>
      <c r="C32" s="214">
        <v>603804</v>
      </c>
      <c r="D32" s="214"/>
      <c r="E32" s="214">
        <v>66</v>
      </c>
      <c r="F32" s="214"/>
      <c r="G32" s="214"/>
      <c r="H32" s="214"/>
      <c r="I32" s="176" t="s">
        <v>282</v>
      </c>
      <c r="K32" s="51"/>
      <c r="L32" s="51">
        <f>'Oppsummering '!E14/380</f>
        <v>0</v>
      </c>
      <c r="M32" s="51"/>
      <c r="N32" s="51"/>
      <c r="O32" s="51"/>
      <c r="P32" s="51"/>
    </row>
    <row r="33" spans="1:17" x14ac:dyDescent="0.25">
      <c r="A33" s="214">
        <v>120100</v>
      </c>
      <c r="B33" s="215">
        <v>0</v>
      </c>
      <c r="C33" s="214">
        <v>611800</v>
      </c>
      <c r="D33" s="214"/>
      <c r="E33" s="214">
        <v>66</v>
      </c>
      <c r="F33" s="214"/>
      <c r="G33" s="214"/>
      <c r="H33" s="214"/>
      <c r="I33" s="176"/>
      <c r="K33" s="51"/>
      <c r="L33" s="51"/>
      <c r="M33" s="51"/>
      <c r="N33" s="51"/>
      <c r="O33" s="51"/>
      <c r="P33" s="51"/>
    </row>
    <row r="34" spans="1:17" x14ac:dyDescent="0.25">
      <c r="A34" s="214">
        <v>120200</v>
      </c>
      <c r="B34" s="215">
        <v>0</v>
      </c>
      <c r="C34" s="214">
        <v>611900</v>
      </c>
      <c r="D34" s="214"/>
      <c r="E34" s="214">
        <v>66</v>
      </c>
      <c r="F34" s="214"/>
      <c r="G34" s="214"/>
      <c r="H34" s="214"/>
      <c r="I34" s="176" t="s">
        <v>283</v>
      </c>
      <c r="K34" s="51"/>
      <c r="L34" s="51">
        <f>'Oppsummering '!E15/380</f>
        <v>273.68421052631578</v>
      </c>
      <c r="M34" s="51"/>
      <c r="N34" s="51"/>
      <c r="O34" s="51"/>
      <c r="P34" s="51"/>
    </row>
    <row r="35" spans="1:17" ht="23.25" x14ac:dyDescent="0.35">
      <c r="A35" s="214">
        <v>120200</v>
      </c>
      <c r="B35" s="215">
        <v>0</v>
      </c>
      <c r="C35" s="214">
        <v>603901</v>
      </c>
      <c r="D35" s="214"/>
      <c r="E35" s="214">
        <v>66</v>
      </c>
      <c r="F35" s="214"/>
      <c r="G35" s="214"/>
      <c r="H35" s="214"/>
      <c r="I35" s="176"/>
      <c r="K35" s="51"/>
      <c r="L35" s="51"/>
      <c r="M35" s="51"/>
      <c r="N35" s="51"/>
      <c r="O35" s="51"/>
      <c r="P35" s="51"/>
      <c r="Q35" s="177"/>
    </row>
    <row r="37" spans="1:17" x14ac:dyDescent="0.25">
      <c r="L37" s="5">
        <f>SUM(L4:L35)</f>
        <v>37379.614536340843</v>
      </c>
    </row>
  </sheetData>
  <sheetProtection password="A4F2" sheet="1" objects="1" scenarios="1" selectLockedCells="1"/>
  <autoFilter ref="A3:R35"/>
  <customSheetViews>
    <customSheetView guid="{749D43A3-052D-442F-AE88-F6CCB83A1282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1"/>
      <autoFilter ref="A3:R35"/>
    </customSheetView>
    <customSheetView guid="{E5349645-7714-4437-B9BC-26ED822E5BC5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2"/>
      <autoFilter ref="A3:R35"/>
    </customSheetView>
    <customSheetView guid="{F38A39FA-EF57-4062-A2AD-F3BEB88C5762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3"/>
      <autoFilter ref="A3:R35"/>
    </customSheetView>
    <customSheetView guid="{83C69039-3E29-46E1-85FB-B9165E0BFA91}" fitToPage="1">
      <selection activeCell="L7" sqref="L7"/>
      <pageMargins left="0.70866141732283472" right="0.70866141732283472" top="0.74803149606299213" bottom="0.74803149606299213" header="0.31496062992125984" footer="0.31496062992125984"/>
      <pageSetup paperSize="9" scale="84" orientation="landscape" r:id="rId4"/>
    </customSheetView>
    <customSheetView guid="{C1FECEF4-D739-4F39-9B89-CF4C04A77A9B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1241DC17-BD41-46C5-9DB1-684763A09F24}" fitToPage="1">
      <selection activeCell="L7" sqref="L7"/>
      <pageMargins left="0.70866141732283472" right="0.70866141732283472" top="0.74803149606299213" bottom="0.74803149606299213" header="0.31496062992125984" footer="0.31496062992125984"/>
      <pageSetup paperSize="9" scale="84" orientation="landscape" r:id="rId6"/>
    </customSheetView>
    <customSheetView guid="{91227156-ECBD-48FD-8964-78F3608400FC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7"/>
    </customSheetView>
    <customSheetView guid="{B76C0EA9-E79B-4DA2-9ADE-66DB47109F8F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8"/>
    </customSheetView>
    <customSheetView guid="{726FF687-50E0-4F8A-BCCB-6DA9E6D367D4}" fitToPage="1" printArea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9"/>
    </customSheetView>
    <customSheetView guid="{BB9ED292-532F-438C-A4A6-F8D66D70E0E7}" fitToPage="1" printArea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0"/>
    </customSheetView>
    <customSheetView guid="{7AE955BB-7BF8-4CA4-ABF1-6A0BB53A48AD}" fitToPage="1" state="hidden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landscape" r:id="rId11"/>
    </customSheetView>
    <customSheetView guid="{43EFFC0A-CCC0-43DD-A273-4AF58757EC00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12"/>
      <autoFilter ref="A3:R35"/>
    </customSheetView>
    <customSheetView guid="{1283C6B5-B05C-447B-8854-CDB081C03FD4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13"/>
      <autoFilter ref="A3:R35"/>
    </customSheetView>
    <customSheetView guid="{CB7E9FB3-C7A3-44DE-98E4-19C23B487785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14"/>
      <autoFilter ref="A3:R35"/>
    </customSheetView>
  </customSheetViews>
  <conditionalFormatting sqref="A1">
    <cfRule type="cellIs" dxfId="0" priority="1" operator="equal">
      <formula>"Mangler input"</formula>
    </cfRule>
  </conditionalFormatting>
  <dataValidations count="2">
    <dataValidation type="list" allowBlank="1" showInputMessage="1" showErrorMessage="1" sqref="G4:G12">
      <formula1>$AH$7:$AH$13</formula1>
    </dataValidation>
    <dataValidation type="list" allowBlank="1" showInputMessage="1" showErrorMessage="1" sqref="H4:H12">
      <formula1>$S$7:$S$28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4" workbookViewId="0">
      <selection activeCell="G27" sqref="G27"/>
    </sheetView>
  </sheetViews>
  <sheetFormatPr defaultColWidth="11.42578125" defaultRowHeight="15" x14ac:dyDescent="0.25"/>
  <cols>
    <col min="1" max="255" width="9.140625" customWidth="1"/>
  </cols>
  <sheetData>
    <row r="2" spans="1:7" x14ac:dyDescent="0.25">
      <c r="A2" t="s">
        <v>306</v>
      </c>
    </row>
    <row r="3" spans="1:7" x14ac:dyDescent="0.25">
      <c r="A3" t="s">
        <v>303</v>
      </c>
      <c r="G3" t="s">
        <v>304</v>
      </c>
    </row>
    <row r="5" spans="1:7" x14ac:dyDescent="0.25">
      <c r="A5" t="s">
        <v>305</v>
      </c>
    </row>
    <row r="7" spans="1:7" x14ac:dyDescent="0.25">
      <c r="A7" t="s">
        <v>291</v>
      </c>
    </row>
    <row r="8" spans="1:7" x14ac:dyDescent="0.25">
      <c r="A8" t="s">
        <v>292</v>
      </c>
    </row>
    <row r="9" spans="1:7" x14ac:dyDescent="0.25">
      <c r="A9" t="s">
        <v>292</v>
      </c>
    </row>
    <row r="11" spans="1:7" x14ac:dyDescent="0.25">
      <c r="A11" t="s">
        <v>293</v>
      </c>
    </row>
    <row r="12" spans="1:7" x14ac:dyDescent="0.25">
      <c r="A12" t="s">
        <v>294</v>
      </c>
    </row>
    <row r="14" spans="1:7" x14ac:dyDescent="0.25">
      <c r="A14" t="s">
        <v>295</v>
      </c>
    </row>
    <row r="15" spans="1:7" x14ac:dyDescent="0.25">
      <c r="A15" t="s">
        <v>296</v>
      </c>
    </row>
    <row r="16" spans="1:7" x14ac:dyDescent="0.25">
      <c r="A16" t="s">
        <v>297</v>
      </c>
    </row>
    <row r="17" spans="1:10" x14ac:dyDescent="0.25">
      <c r="A17" t="s">
        <v>298</v>
      </c>
    </row>
    <row r="18" spans="1:10" x14ac:dyDescent="0.25">
      <c r="A18" t="s">
        <v>299</v>
      </c>
    </row>
    <row r="20" spans="1:10" ht="14.45" x14ac:dyDescent="0.3">
      <c r="A20" t="s">
        <v>300</v>
      </c>
    </row>
    <row r="21" spans="1:10" ht="14.45" x14ac:dyDescent="0.3">
      <c r="A21" t="s">
        <v>301</v>
      </c>
    </row>
    <row r="22" spans="1:10" ht="14.45" x14ac:dyDescent="0.3">
      <c r="A22" t="s">
        <v>302</v>
      </c>
    </row>
    <row r="24" spans="1:10" ht="16.149999999999999" thickBot="1" x14ac:dyDescent="0.35">
      <c r="A24" s="224"/>
      <c r="B24" s="107"/>
      <c r="C24" s="108"/>
      <c r="D24" s="225" t="s">
        <v>243</v>
      </c>
      <c r="E24" s="226"/>
      <c r="F24" s="227"/>
      <c r="G24" s="228"/>
    </row>
    <row r="25" spans="1:10" ht="60" x14ac:dyDescent="0.25">
      <c r="A25" s="229" t="s">
        <v>1</v>
      </c>
      <c r="B25" s="230" t="s">
        <v>284</v>
      </c>
      <c r="C25" s="231" t="s">
        <v>229</v>
      </c>
      <c r="D25" s="232" t="s">
        <v>128</v>
      </c>
      <c r="E25" s="232" t="s">
        <v>129</v>
      </c>
      <c r="F25" s="233" t="s">
        <v>117</v>
      </c>
      <c r="G25" s="234" t="s">
        <v>143</v>
      </c>
      <c r="H25" s="235" t="s">
        <v>210</v>
      </c>
      <c r="I25" s="234" t="s">
        <v>70</v>
      </c>
      <c r="J25" s="234" t="s">
        <v>211</v>
      </c>
    </row>
    <row r="26" spans="1:10" ht="180" x14ac:dyDescent="0.25">
      <c r="A26" s="222" t="s">
        <v>312</v>
      </c>
      <c r="B26" s="57">
        <v>10</v>
      </c>
      <c r="C26" s="57">
        <v>20</v>
      </c>
      <c r="D26" s="246"/>
      <c r="E26" s="246">
        <v>22</v>
      </c>
      <c r="F26" s="1">
        <v>22</v>
      </c>
      <c r="G26" s="3">
        <v>42900</v>
      </c>
      <c r="H26" s="246">
        <v>0</v>
      </c>
      <c r="I26" s="1"/>
      <c r="J26" s="1"/>
    </row>
    <row r="27" spans="1:10" ht="75" x14ac:dyDescent="0.25">
      <c r="A27" s="222" t="s">
        <v>313</v>
      </c>
      <c r="B27" s="57">
        <v>10</v>
      </c>
      <c r="C27" s="57">
        <v>20</v>
      </c>
      <c r="D27" s="246"/>
      <c r="E27" s="246">
        <v>22</v>
      </c>
      <c r="F27" s="1">
        <v>22</v>
      </c>
      <c r="G27" s="3">
        <v>42900</v>
      </c>
      <c r="H27" s="246">
        <v>3</v>
      </c>
      <c r="I27" s="1"/>
      <c r="J27" s="1">
        <v>15</v>
      </c>
    </row>
    <row r="28" spans="1:10" ht="75" x14ac:dyDescent="0.25">
      <c r="A28" s="222" t="s">
        <v>314</v>
      </c>
      <c r="B28" s="57">
        <v>10</v>
      </c>
      <c r="C28" s="57">
        <v>20</v>
      </c>
      <c r="D28" s="246"/>
      <c r="E28" s="246">
        <v>22</v>
      </c>
      <c r="F28" s="1">
        <v>22</v>
      </c>
      <c r="G28" s="3">
        <v>42900</v>
      </c>
      <c r="H28" s="246">
        <v>4</v>
      </c>
      <c r="I28" s="1"/>
      <c r="J28" s="1">
        <v>20</v>
      </c>
    </row>
    <row r="29" spans="1:10" ht="90" x14ac:dyDescent="0.25">
      <c r="A29" s="222" t="s">
        <v>315</v>
      </c>
      <c r="B29" s="57">
        <v>10</v>
      </c>
      <c r="C29" s="57">
        <v>20</v>
      </c>
      <c r="D29" s="246"/>
      <c r="E29" s="246">
        <v>22</v>
      </c>
      <c r="F29" s="1">
        <v>22</v>
      </c>
      <c r="G29" s="3">
        <v>42900</v>
      </c>
      <c r="H29" s="246"/>
      <c r="I29" s="1"/>
      <c r="J29" s="1"/>
    </row>
    <row r="30" spans="1:10" ht="180" x14ac:dyDescent="0.25">
      <c r="A30" s="222" t="s">
        <v>316</v>
      </c>
      <c r="B30" s="57">
        <v>10</v>
      </c>
      <c r="C30" s="57">
        <v>20</v>
      </c>
      <c r="D30" s="246"/>
      <c r="E30" s="246">
        <v>22</v>
      </c>
      <c r="F30" s="1">
        <v>22</v>
      </c>
      <c r="G30" s="3">
        <v>42900</v>
      </c>
      <c r="H30" s="246">
        <v>0</v>
      </c>
      <c r="I30" s="1"/>
      <c r="J30" s="1"/>
    </row>
    <row r="31" spans="1:10" ht="60" x14ac:dyDescent="0.25">
      <c r="A31" s="222" t="s">
        <v>317</v>
      </c>
      <c r="B31" s="57">
        <v>10</v>
      </c>
      <c r="C31" s="57">
        <v>20</v>
      </c>
      <c r="D31" s="246"/>
      <c r="E31" s="246">
        <v>6</v>
      </c>
      <c r="F31" s="1">
        <v>6</v>
      </c>
      <c r="G31" s="3">
        <v>11700</v>
      </c>
      <c r="H31" s="246">
        <v>0</v>
      </c>
      <c r="I31" s="1"/>
      <c r="J31" s="1"/>
    </row>
    <row r="32" spans="1:10" ht="150" x14ac:dyDescent="0.25">
      <c r="A32" s="222" t="s">
        <v>318</v>
      </c>
      <c r="B32" s="57">
        <v>10</v>
      </c>
      <c r="C32" s="57">
        <v>20</v>
      </c>
      <c r="D32" s="246">
        <v>28</v>
      </c>
      <c r="E32" s="246"/>
      <c r="F32" s="1">
        <v>28</v>
      </c>
      <c r="G32" s="3">
        <v>54600</v>
      </c>
      <c r="H32" s="246">
        <v>6</v>
      </c>
      <c r="I32" s="1"/>
      <c r="J32" s="1">
        <v>30</v>
      </c>
    </row>
    <row r="33" spans="1:10" ht="195" x14ac:dyDescent="0.25">
      <c r="A33" s="222" t="s">
        <v>319</v>
      </c>
      <c r="B33" s="57">
        <v>10</v>
      </c>
      <c r="C33" s="57">
        <v>20</v>
      </c>
      <c r="D33" s="246">
        <v>22</v>
      </c>
      <c r="E33" s="246"/>
      <c r="F33" s="1">
        <v>22</v>
      </c>
      <c r="G33" s="3">
        <v>42900</v>
      </c>
      <c r="H33" s="246">
        <v>4</v>
      </c>
      <c r="I33" s="1"/>
      <c r="J33" s="1">
        <v>20</v>
      </c>
    </row>
    <row r="34" spans="1:10" ht="45" x14ac:dyDescent="0.25">
      <c r="A34" s="223" t="s">
        <v>320</v>
      </c>
      <c r="B34" s="57">
        <v>10</v>
      </c>
      <c r="C34" s="57">
        <v>20</v>
      </c>
      <c r="D34" s="246">
        <v>22</v>
      </c>
      <c r="E34" s="246"/>
      <c r="F34" s="1">
        <v>22</v>
      </c>
      <c r="G34" s="3">
        <v>42900</v>
      </c>
      <c r="H34" s="246"/>
      <c r="I34" s="1"/>
      <c r="J34" s="1"/>
    </row>
    <row r="35" spans="1:10" ht="135" x14ac:dyDescent="0.25">
      <c r="A35" s="222" t="s">
        <v>309</v>
      </c>
      <c r="B35" s="57">
        <v>10</v>
      </c>
      <c r="C35" s="57">
        <v>20</v>
      </c>
      <c r="D35" s="246">
        <v>22</v>
      </c>
      <c r="E35" s="246"/>
      <c r="F35" s="1">
        <v>22</v>
      </c>
      <c r="G35" s="3">
        <v>42900</v>
      </c>
      <c r="H35" s="246">
        <v>0</v>
      </c>
      <c r="I35" s="1"/>
      <c r="J35" s="1"/>
    </row>
    <row r="36" spans="1:10" x14ac:dyDescent="0.25">
      <c r="B36">
        <f t="shared" ref="B36:H36" si="0">SUM(B26:B35)</f>
        <v>100</v>
      </c>
      <c r="C36">
        <f t="shared" si="0"/>
        <v>200</v>
      </c>
      <c r="D36">
        <f t="shared" si="0"/>
        <v>94</v>
      </c>
      <c r="E36">
        <f t="shared" si="0"/>
        <v>116</v>
      </c>
      <c r="F36">
        <f t="shared" si="0"/>
        <v>210</v>
      </c>
      <c r="G36" s="5">
        <f t="shared" si="0"/>
        <v>409500</v>
      </c>
      <c r="H36">
        <f t="shared" si="0"/>
        <v>17</v>
      </c>
      <c r="J36">
        <f>SUM(J26:J35)</f>
        <v>85</v>
      </c>
    </row>
  </sheetData>
  <customSheetViews>
    <customSheetView guid="{749D43A3-052D-442F-AE88-F6CCB83A1282}">
      <selection activeCell="G27" sqref="G27"/>
      <pageMargins left="0.7" right="0.7" top="0.75" bottom="0.75" header="0.3" footer="0.3"/>
    </customSheetView>
    <customSheetView guid="{E5349645-7714-4437-B9BC-26ED822E5BC5}">
      <selection activeCell="G27" sqref="G27"/>
      <pageMargins left="0.7" right="0.7" top="0.75" bottom="0.75" header="0.3" footer="0.3"/>
    </customSheetView>
    <customSheetView guid="{F38A39FA-EF57-4062-A2AD-F3BEB88C5762}">
      <selection activeCell="G27" sqref="G27"/>
      <pageMargins left="0.7" right="0.7" top="0.75" bottom="0.75" header="0.3" footer="0.3"/>
    </customSheetView>
    <customSheetView guid="{83C69039-3E29-46E1-85FB-B9165E0BFA91}">
      <selection activeCell="I34" sqref="I34:J34"/>
      <pageMargins left="0.7" right="0.7" top="0.75" bottom="0.75" header="0.3" footer="0.3"/>
    </customSheetView>
    <customSheetView guid="{C1FECEF4-D739-4F39-9B89-CF4C04A77A9B}">
      <selection activeCell="I34" sqref="I34:J34"/>
      <pageMargins left="0.7" right="0.7" top="0.75" bottom="0.75" header="0.3" footer="0.3"/>
    </customSheetView>
    <customSheetView guid="{1241DC17-BD41-46C5-9DB1-684763A09F24}">
      <selection activeCell="I34" sqref="I34:J34"/>
      <pageMargins left="0.7" right="0.7" top="0.75" bottom="0.75" header="0.3" footer="0.3"/>
    </customSheetView>
    <customSheetView guid="{B76C0EA9-E79B-4DA2-9ADE-66DB47109F8F}">
      <selection activeCell="I34" sqref="I34:J34"/>
      <pageMargins left="0.7" right="0.7" top="0.75" bottom="0.75" header="0.3" footer="0.3"/>
    </customSheetView>
    <customSheetView guid="{726FF687-50E0-4F8A-BCCB-6DA9E6D367D4}">
      <selection activeCell="I34" sqref="I34:J34"/>
      <pageMargins left="0.7" right="0.7" top="0.75" bottom="0.75" header="0.3" footer="0.3"/>
    </customSheetView>
    <customSheetView guid="{BB9ED292-532F-438C-A4A6-F8D66D70E0E7}">
      <selection activeCell="I34" sqref="I34:J34"/>
      <pageMargins left="0.7" right="0.7" top="0.75" bottom="0.75" header="0.3" footer="0.3"/>
    </customSheetView>
    <customSheetView guid="{7AE955BB-7BF8-4CA4-ABF1-6A0BB53A48AD}" topLeftCell="A16">
      <selection activeCell="N29" sqref="N29"/>
      <pageMargins left="0.7" right="0.7" top="0.75" bottom="0.75" header="0.3" footer="0.3"/>
    </customSheetView>
    <customSheetView guid="{43EFFC0A-CCC0-43DD-A273-4AF58757EC00}">
      <selection activeCell="G27" sqref="G27"/>
      <pageMargins left="0.7" right="0.7" top="0.75" bottom="0.75" header="0.3" footer="0.3"/>
    </customSheetView>
    <customSheetView guid="{1283C6B5-B05C-447B-8854-CDB081C03FD4}">
      <selection activeCell="G27" sqref="G27"/>
      <pageMargins left="0.7" right="0.7" top="0.75" bottom="0.75" header="0.3" footer="0.3"/>
    </customSheetView>
    <customSheetView guid="{CB7E9FB3-C7A3-44DE-98E4-19C23B487785}">
      <selection activeCell="G27" sqref="G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1. studieår</vt:lpstr>
      <vt:lpstr>2. studieår</vt:lpstr>
      <vt:lpstr>3. studieår</vt:lpstr>
      <vt:lpstr>4. studieår</vt:lpstr>
      <vt:lpstr>Valgemner</vt:lpstr>
      <vt:lpstr>Diverse</vt:lpstr>
      <vt:lpstr>Oppsummering </vt:lpstr>
      <vt:lpstr>Buddyarket</vt:lpstr>
      <vt:lpstr>HUMR</vt:lpstr>
      <vt:lpstr>Ark1</vt:lpstr>
      <vt:lpstr>Buddyarket!Print_Area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jorning</dc:creator>
  <cp:lastModifiedBy>Kristin Steen Slåttå</cp:lastModifiedBy>
  <cp:lastPrinted>2016-10-03T07:37:35Z</cp:lastPrinted>
  <dcterms:created xsi:type="dcterms:W3CDTF">2010-09-08T06:54:11Z</dcterms:created>
  <dcterms:modified xsi:type="dcterms:W3CDTF">2016-10-03T07:38:27Z</dcterms:modified>
</cp:coreProperties>
</file>