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\jus-felles\eksamensavd\PMR\Saksfremlegg\høst 2020\vedlegg\"/>
    </mc:Choice>
  </mc:AlternateContent>
  <bookViews>
    <workbookView xWindow="0" yWindow="-375" windowWidth="11685" windowHeight="7995"/>
  </bookViews>
  <sheets>
    <sheet name="1. studieår" sheetId="1" r:id="rId1"/>
    <sheet name="2. studieår" sheetId="2" r:id="rId2"/>
    <sheet name="3. studieår" sheetId="3" r:id="rId3"/>
    <sheet name="4. studieår" sheetId="4" r:id="rId4"/>
    <sheet name="Valgemner" sheetId="5" r:id="rId5"/>
    <sheet name="Diverse" sheetId="6" r:id="rId6"/>
    <sheet name="Oppsummering " sheetId="7" r:id="rId7"/>
    <sheet name="Buddyarket" sheetId="8" r:id="rId8"/>
    <sheet name="HUMR" sheetId="9" r:id="rId9"/>
  </sheets>
  <externalReferences>
    <externalReference r:id="rId10"/>
    <externalReference r:id="rId11"/>
  </externalReferences>
  <definedNames>
    <definedName name="_xlnm._FilterDatabase" localSheetId="7" hidden="1">Buddyarket!$A$3:$R$35</definedName>
    <definedName name="_xlnm.Print_Area" localSheetId="7">Buddyarket!$A$1:$O$25</definedName>
    <definedName name="Z_0E885D9C_CD7C_4655_8709_41793617E0A7_.wvu.Cols" localSheetId="0" hidden="1">'1. studieår'!$F:$G,'1. studieår'!$J:$J,'1. studieår'!$M:$M,'1. studieår'!$P:$Q,'1. studieår'!$AM:$AN</definedName>
    <definedName name="Z_0E885D9C_CD7C_4655_8709_41793617E0A7_.wvu.Cols" localSheetId="1" hidden="1">'2. studieår'!$F:$F,'2. studieår'!$H:$H</definedName>
    <definedName name="Z_0E885D9C_CD7C_4655_8709_41793617E0A7_.wvu.Cols" localSheetId="2" hidden="1">'3. studieår'!$F:$G</definedName>
    <definedName name="Z_0E885D9C_CD7C_4655_8709_41793617E0A7_.wvu.Cols" localSheetId="3" hidden="1">'4. studieår'!$K:$M</definedName>
    <definedName name="Z_0E885D9C_CD7C_4655_8709_41793617E0A7_.wvu.Cols" localSheetId="4" hidden="1">Valgemner!$K:$K</definedName>
    <definedName name="Z_0E885D9C_CD7C_4655_8709_41793617E0A7_.wvu.FilterData" localSheetId="7" hidden="1">Buddyarket!$A$3:$R$35</definedName>
    <definedName name="Z_0E885D9C_CD7C_4655_8709_41793617E0A7_.wvu.PrintArea" localSheetId="7" hidden="1">Buddyarket!$A$1:$O$25</definedName>
    <definedName name="Z_0E885D9C_CD7C_4655_8709_41793617E0A7_.wvu.Rows" localSheetId="0" hidden="1">'1. studieår'!$25:$25</definedName>
    <definedName name="Z_1241DC17_BD41_46C5_9DB1_684763A09F24_.wvu.Cols" localSheetId="0" hidden="1">'1. studieår'!$F:$F,'1. studieår'!$I:$I,'1. studieår'!$M:$M</definedName>
    <definedName name="Z_1241DC17_BD41_46C5_9DB1_684763A09F24_.wvu.Cols" localSheetId="1" hidden="1">'2. studieår'!$F:$F,'2. studieår'!$H:$H,'2. studieår'!#REF!</definedName>
    <definedName name="Z_1241DC17_BD41_46C5_9DB1_684763A09F24_.wvu.Cols" localSheetId="2" hidden="1">'3. studieår'!$F:$F,'3. studieår'!#REF!,'3. studieår'!$K:$K</definedName>
    <definedName name="Z_1241DC17_BD41_46C5_9DB1_684763A09F24_.wvu.Cols" localSheetId="3" hidden="1">'4. studieår'!#REF!,'4. studieår'!#REF!,'4. studieår'!$M:$M</definedName>
    <definedName name="Z_1283C6B5_B05C_447B_8854_CDB081C03FD4_.wvu.Cols" localSheetId="0" hidden="1">'1. studieår'!$F:$G,'1. studieår'!$J:$J,'1. studieår'!$M:$M,'1. studieår'!$P:$Q,'1. studieår'!$AM:$AN</definedName>
    <definedName name="Z_1283C6B5_B05C_447B_8854_CDB081C03FD4_.wvu.Cols" localSheetId="1" hidden="1">'2. studieår'!$F:$F,'2. studieår'!$H:$H</definedName>
    <definedName name="Z_1283C6B5_B05C_447B_8854_CDB081C03FD4_.wvu.Cols" localSheetId="2" hidden="1">'3. studieår'!$F:$G</definedName>
    <definedName name="Z_1283C6B5_B05C_447B_8854_CDB081C03FD4_.wvu.Cols" localSheetId="3" hidden="1">'4. studieår'!$K:$M</definedName>
    <definedName name="Z_1283C6B5_B05C_447B_8854_CDB081C03FD4_.wvu.Cols" localSheetId="4" hidden="1">Valgemner!$K:$K</definedName>
    <definedName name="Z_1283C6B5_B05C_447B_8854_CDB081C03FD4_.wvu.FilterData" localSheetId="7" hidden="1">Buddyarket!$A$3:$R$35</definedName>
    <definedName name="Z_1283C6B5_B05C_447B_8854_CDB081C03FD4_.wvu.PrintArea" localSheetId="7" hidden="1">Buddyarket!$A$1:$O$25</definedName>
    <definedName name="Z_1283C6B5_B05C_447B_8854_CDB081C03FD4_.wvu.Rows" localSheetId="0" hidden="1">'1. studieår'!$25:$25</definedName>
    <definedName name="Z_2A2C752C_8C42_4F9A_A40C_FE7F7014F210_.wvu.Cols" localSheetId="0" hidden="1">'1. studieår'!$F:$G,'1. studieår'!$J:$J,'1. studieår'!$M:$M,'1. studieår'!$P:$Q,'1. studieår'!$AM:$AN</definedName>
    <definedName name="Z_2A2C752C_8C42_4F9A_A40C_FE7F7014F210_.wvu.Cols" localSheetId="1" hidden="1">'2. studieår'!$F:$F,'2. studieår'!$H:$H</definedName>
    <definedName name="Z_2A2C752C_8C42_4F9A_A40C_FE7F7014F210_.wvu.Cols" localSheetId="2" hidden="1">'3. studieår'!$F:$G</definedName>
    <definedName name="Z_2A2C752C_8C42_4F9A_A40C_FE7F7014F210_.wvu.Cols" localSheetId="3" hidden="1">'4. studieår'!$K:$M</definedName>
    <definedName name="Z_2A2C752C_8C42_4F9A_A40C_FE7F7014F210_.wvu.Cols" localSheetId="4" hidden="1">Valgemner!$K:$K</definedName>
    <definedName name="Z_2A2C752C_8C42_4F9A_A40C_FE7F7014F210_.wvu.FilterData" localSheetId="7" hidden="1">Buddyarket!$A$3:$R$35</definedName>
    <definedName name="Z_2A2C752C_8C42_4F9A_A40C_FE7F7014F210_.wvu.PrintArea" localSheetId="7" hidden="1">Buddyarket!$A$1:$O$25</definedName>
    <definedName name="Z_2A2C752C_8C42_4F9A_A40C_FE7F7014F210_.wvu.Rows" localSheetId="0" hidden="1">'1. studieår'!$25:$25</definedName>
    <definedName name="Z_37BC2192_ABF8_4439_93C4_8E65E7EF90F5_.wvu.Cols" localSheetId="0" hidden="1">'1. studieår'!$F:$G,'1. studieår'!$J:$J,'1. studieår'!$M:$M,'1. studieår'!$P:$Q,'1. studieår'!$AM:$AN</definedName>
    <definedName name="Z_37BC2192_ABF8_4439_93C4_8E65E7EF90F5_.wvu.Cols" localSheetId="1" hidden="1">'2. studieår'!$F:$F,'2. studieår'!$H:$H</definedName>
    <definedName name="Z_37BC2192_ABF8_4439_93C4_8E65E7EF90F5_.wvu.Cols" localSheetId="2" hidden="1">'3. studieår'!$F:$G</definedName>
    <definedName name="Z_37BC2192_ABF8_4439_93C4_8E65E7EF90F5_.wvu.Cols" localSheetId="3" hidden="1">'4. studieår'!$K:$M</definedName>
    <definedName name="Z_37BC2192_ABF8_4439_93C4_8E65E7EF90F5_.wvu.Cols" localSheetId="4" hidden="1">Valgemner!$K:$K</definedName>
    <definedName name="Z_37BC2192_ABF8_4439_93C4_8E65E7EF90F5_.wvu.FilterData" localSheetId="7" hidden="1">Buddyarket!$A$3:$R$35</definedName>
    <definedName name="Z_37BC2192_ABF8_4439_93C4_8E65E7EF90F5_.wvu.PrintArea" localSheetId="7" hidden="1">Buddyarket!$A$1:$O$25</definedName>
    <definedName name="Z_37BC2192_ABF8_4439_93C4_8E65E7EF90F5_.wvu.Rows" localSheetId="0" hidden="1">'1. studieår'!$25:$25</definedName>
    <definedName name="Z_43EFFC0A_CCC0_43DD_A273_4AF58757EC00_.wvu.Cols" localSheetId="0" hidden="1">'1. studieår'!$F:$F,'1. studieår'!$I:$I,'1. studieår'!$M:$M</definedName>
    <definedName name="Z_43EFFC0A_CCC0_43DD_A273_4AF58757EC00_.wvu.Cols" localSheetId="1" hidden="1">'2. studieår'!$F:$F,'2. studieår'!$H:$H,'2. studieår'!#REF!</definedName>
    <definedName name="Z_43EFFC0A_CCC0_43DD_A273_4AF58757EC00_.wvu.Cols" localSheetId="2" hidden="1">'3. studieår'!$F:$F,'3. studieår'!#REF!,'3. studieår'!$K:$K</definedName>
    <definedName name="Z_43EFFC0A_CCC0_43DD_A273_4AF58757EC00_.wvu.Cols" localSheetId="3" hidden="1">'4. studieår'!#REF!,'4. studieår'!#REF!,'4. studieår'!$M:$M</definedName>
    <definedName name="Z_43EFFC0A_CCC0_43DD_A273_4AF58757EC00_.wvu.FilterData" localSheetId="7" hidden="1">Buddyarket!$A$3:$R$35</definedName>
    <definedName name="Z_43EFFC0A_CCC0_43DD_A273_4AF58757EC00_.wvu.PrintArea" localSheetId="7" hidden="1">Buddyarket!$A$1:$O$25</definedName>
    <definedName name="Z_46AB9545_8BEE_4A2F_B820_9F80AC24A11B_.wvu.Cols" localSheetId="0" hidden="1">'1. studieår'!$F:$F,'1. studieår'!$I:$I,'1. studieår'!$M:$M,'1. studieår'!$AM:$AN</definedName>
    <definedName name="Z_46AB9545_8BEE_4A2F_B820_9F80AC24A11B_.wvu.Cols" localSheetId="1" hidden="1">'2. studieår'!$F:$F,'2. studieår'!$H:$H,'2. studieår'!#REF!</definedName>
    <definedName name="Z_46AB9545_8BEE_4A2F_B820_9F80AC24A11B_.wvu.Cols" localSheetId="2" hidden="1">'3. studieår'!$F:$F,'3. studieår'!#REF!,'3. studieår'!$K:$K</definedName>
    <definedName name="Z_46AB9545_8BEE_4A2F_B820_9F80AC24A11B_.wvu.Cols" localSheetId="3" hidden="1">'4. studieår'!#REF!,'4. studieår'!#REF!,'4. studieår'!$K:$M</definedName>
    <definedName name="Z_46AB9545_8BEE_4A2F_B820_9F80AC24A11B_.wvu.Cols" localSheetId="4" hidden="1">Valgemner!$K:$K</definedName>
    <definedName name="Z_46AB9545_8BEE_4A2F_B820_9F80AC24A11B_.wvu.FilterData" localSheetId="7" hidden="1">Buddyarket!$A$3:$R$35</definedName>
    <definedName name="Z_46AB9545_8BEE_4A2F_B820_9F80AC24A11B_.wvu.PrintArea" localSheetId="7" hidden="1">Buddyarket!$A$1:$O$25</definedName>
    <definedName name="Z_46AB9545_8BEE_4A2F_B820_9F80AC24A11B_.wvu.Rows" localSheetId="0" hidden="1">'1. studieår'!$25:$25</definedName>
    <definedName name="Z_54055508_3439_4A0A_A803_01A23ABF8DBD_.wvu.Cols" localSheetId="0" hidden="1">'1. studieår'!$F:$G,'1. studieår'!$J:$J,'1. studieår'!$M:$M,'1. studieår'!$P:$Q,'1. studieår'!$AM:$AN</definedName>
    <definedName name="Z_54055508_3439_4A0A_A803_01A23ABF8DBD_.wvu.Cols" localSheetId="1" hidden="1">'2. studieår'!$F:$F,'2. studieår'!$H:$H</definedName>
    <definedName name="Z_54055508_3439_4A0A_A803_01A23ABF8DBD_.wvu.Cols" localSheetId="2" hidden="1">'3. studieår'!$F:$G</definedName>
    <definedName name="Z_54055508_3439_4A0A_A803_01A23ABF8DBD_.wvu.Cols" localSheetId="3" hidden="1">'4. studieår'!$K:$M</definedName>
    <definedName name="Z_54055508_3439_4A0A_A803_01A23ABF8DBD_.wvu.Cols" localSheetId="4" hidden="1">Valgemner!$K:$K</definedName>
    <definedName name="Z_54055508_3439_4A0A_A803_01A23ABF8DBD_.wvu.FilterData" localSheetId="7" hidden="1">Buddyarket!$A$3:$R$35</definedName>
    <definedName name="Z_54055508_3439_4A0A_A803_01A23ABF8DBD_.wvu.PrintArea" localSheetId="7" hidden="1">Buddyarket!$A$1:$O$25</definedName>
    <definedName name="Z_54055508_3439_4A0A_A803_01A23ABF8DBD_.wvu.Rows" localSheetId="0" hidden="1">'1. studieår'!$25:$25</definedName>
    <definedName name="Z_7084DC93_B2BE_4098_87E1_DAC5FBCE0E0A_.wvu.Cols" localSheetId="0" hidden="1">'1. studieår'!$F:$G,'1. studieår'!$J:$J,'1. studieår'!$M:$M,'1. studieår'!$P:$Q,'1. studieår'!$AM:$AN</definedName>
    <definedName name="Z_7084DC93_B2BE_4098_87E1_DAC5FBCE0E0A_.wvu.Cols" localSheetId="1" hidden="1">'2. studieår'!$F:$F,'2. studieår'!$H:$H</definedName>
    <definedName name="Z_7084DC93_B2BE_4098_87E1_DAC5FBCE0E0A_.wvu.Cols" localSheetId="2" hidden="1">'3. studieår'!$F:$G</definedName>
    <definedName name="Z_7084DC93_B2BE_4098_87E1_DAC5FBCE0E0A_.wvu.Cols" localSheetId="3" hidden="1">'4. studieår'!$K:$M</definedName>
    <definedName name="Z_7084DC93_B2BE_4098_87E1_DAC5FBCE0E0A_.wvu.Cols" localSheetId="4" hidden="1">Valgemner!$K:$K</definedName>
    <definedName name="Z_7084DC93_B2BE_4098_87E1_DAC5FBCE0E0A_.wvu.FilterData" localSheetId="7" hidden="1">Buddyarket!$A$3:$R$35</definedName>
    <definedName name="Z_7084DC93_B2BE_4098_87E1_DAC5FBCE0E0A_.wvu.PrintArea" localSheetId="7" hidden="1">Buddyarket!$A$1:$O$25</definedName>
    <definedName name="Z_7084DC93_B2BE_4098_87E1_DAC5FBCE0E0A_.wvu.Rows" localSheetId="0" hidden="1">'1. studieår'!$25:$25</definedName>
    <definedName name="Z_726FF687_50E0_4F8A_BCCB_6DA9E6D367D4_.wvu.Cols" localSheetId="0" hidden="1">'1. studieår'!$F:$F,'1. studieår'!$I:$I,'1. studieår'!$M:$M</definedName>
    <definedName name="Z_726FF687_50E0_4F8A_BCCB_6DA9E6D367D4_.wvu.Cols" localSheetId="1" hidden="1">'2. studieår'!$F:$F,'2. studieår'!#REF!</definedName>
    <definedName name="Z_726FF687_50E0_4F8A_BCCB_6DA9E6D367D4_.wvu.Cols" localSheetId="2" hidden="1">'3. studieår'!$F:$F,'3. studieår'!#REF!,'3. studieår'!$K:$K</definedName>
    <definedName name="Z_726FF687_50E0_4F8A_BCCB_6DA9E6D367D4_.wvu.Cols" localSheetId="3" hidden="1">'4. studieår'!#REF!,'4. studieår'!#REF!,'4. studieår'!$M:$M</definedName>
    <definedName name="Z_726FF687_50E0_4F8A_BCCB_6DA9E6D367D4_.wvu.PrintArea" localSheetId="7" hidden="1">Buddyarket!$A$1:$O$25</definedName>
    <definedName name="Z_726FF687_50E0_4F8A_BCCB_6DA9E6D367D4_.wvu.Rows" localSheetId="0" hidden="1">'1. studieår'!$4:$4,'1. studieår'!$35:$35</definedName>
    <definedName name="Z_726FF687_50E0_4F8A_BCCB_6DA9E6D367D4_.wvu.Rows" localSheetId="1" hidden="1">'2. studieår'!$36:$36</definedName>
    <definedName name="Z_726FF687_50E0_4F8A_BCCB_6DA9E6D367D4_.wvu.Rows" localSheetId="2" hidden="1">'3. studieår'!$2:$2,'3. studieår'!$36:$36</definedName>
    <definedName name="Z_726FF687_50E0_4F8A_BCCB_6DA9E6D367D4_.wvu.Rows" localSheetId="3" hidden="1">'4. studieår'!$34:$34</definedName>
    <definedName name="Z_749D43A3_052D_442F_AE88_F6CCB83A1282_.wvu.Cols" localSheetId="0" hidden="1">'1. studieår'!$F:$F,'1. studieår'!$I:$I,'1. studieår'!$M:$M</definedName>
    <definedName name="Z_749D43A3_052D_442F_AE88_F6CCB83A1282_.wvu.Cols" localSheetId="1" hidden="1">'2. studieår'!$F:$F,'2. studieår'!$H:$H,'2. studieår'!#REF!</definedName>
    <definedName name="Z_749D43A3_052D_442F_AE88_F6CCB83A1282_.wvu.Cols" localSheetId="2" hidden="1">'3. studieår'!$F:$F,'3. studieår'!#REF!,'3. studieår'!$K:$K</definedName>
    <definedName name="Z_749D43A3_052D_442F_AE88_F6CCB83A1282_.wvu.Cols" localSheetId="3" hidden="1">'4. studieår'!#REF!,'4. studieår'!#REF!,'4. studieår'!$M:$M</definedName>
    <definedName name="Z_749D43A3_052D_442F_AE88_F6CCB83A1282_.wvu.FilterData" localSheetId="7" hidden="1">Buddyarket!$A$3:$R$35</definedName>
    <definedName name="Z_749D43A3_052D_442F_AE88_F6CCB83A1282_.wvu.PrintArea" localSheetId="7" hidden="1">Buddyarket!$A$1:$O$25</definedName>
    <definedName name="Z_7AE955BB_7BF8_4CA4_ABF1_6A0BB53A48AD_.wvu.Cols" localSheetId="0" hidden="1">'1. studieår'!$F:$F,'1. studieår'!$I:$I,'1. studieår'!$M:$M</definedName>
    <definedName name="Z_7AE955BB_7BF8_4CA4_ABF1_6A0BB53A48AD_.wvu.Cols" localSheetId="1" hidden="1">'2. studieår'!$F:$F,'2. studieår'!#REF!</definedName>
    <definedName name="Z_7AE955BB_7BF8_4CA4_ABF1_6A0BB53A48AD_.wvu.Cols" localSheetId="2" hidden="1">'3. studieår'!$F:$F,'3. studieår'!#REF!,'3. studieår'!$K:$K</definedName>
    <definedName name="Z_7AE955BB_7BF8_4CA4_ABF1_6A0BB53A48AD_.wvu.Cols" localSheetId="3" hidden="1">'4. studieår'!#REF!,'4. studieår'!#REF!,'4. studieår'!$M:$M</definedName>
    <definedName name="Z_7AE955BB_7BF8_4CA4_ABF1_6A0BB53A48AD_.wvu.PrintArea" localSheetId="7" hidden="1">Buddyarket!$A$1:$O$25</definedName>
    <definedName name="Z_7AE955BB_7BF8_4CA4_ABF1_6A0BB53A48AD_.wvu.Rows" localSheetId="0" hidden="1">'1. studieår'!$4:$4,'1. studieår'!$35:$35</definedName>
    <definedName name="Z_7AE955BB_7BF8_4CA4_ABF1_6A0BB53A48AD_.wvu.Rows" localSheetId="1" hidden="1">'2. studieår'!$36:$36</definedName>
    <definedName name="Z_7AE955BB_7BF8_4CA4_ABF1_6A0BB53A48AD_.wvu.Rows" localSheetId="2" hidden="1">'3. studieår'!$2:$2,'3. studieår'!$36:$36</definedName>
    <definedName name="Z_7AE955BB_7BF8_4CA4_ABF1_6A0BB53A48AD_.wvu.Rows" localSheetId="3" hidden="1">'4. studieår'!$34:$34</definedName>
    <definedName name="Z_83C69039_3E29_46E1_85FB_B9165E0BFA91_.wvu.Cols" localSheetId="0" hidden="1">'1. studieår'!$F:$F,'1. studieår'!$I:$I,'1. studieår'!$M:$M</definedName>
    <definedName name="Z_83C69039_3E29_46E1_85FB_B9165E0BFA91_.wvu.Cols" localSheetId="1" hidden="1">'2. studieår'!$F:$F,'2. studieår'!$H:$H,'2. studieår'!#REF!</definedName>
    <definedName name="Z_83C69039_3E29_46E1_85FB_B9165E0BFA91_.wvu.Cols" localSheetId="2" hidden="1">'3. studieår'!$F:$F,'3. studieår'!#REF!,'3. studieår'!$K:$K</definedName>
    <definedName name="Z_83C69039_3E29_46E1_85FB_B9165E0BFA91_.wvu.Cols" localSheetId="3" hidden="1">'4. studieår'!#REF!,'4. studieår'!#REF!,'4. studieår'!$M:$M</definedName>
    <definedName name="Z_83C69039_3E29_46E1_85FB_B9165E0BFA91_.wvu.FilterData" localSheetId="7" hidden="1">Buddyarket!$A$3:$R$35</definedName>
    <definedName name="Z_91227156_ECBD_48FD_8964_78F3608400FC_.wvu.Cols" localSheetId="0" hidden="1">'1. studieår'!$F:$F,'1. studieår'!$I:$I,'1. studieår'!$M:$M</definedName>
    <definedName name="Z_91227156_ECBD_48FD_8964_78F3608400FC_.wvu.Cols" localSheetId="1" hidden="1">'2. studieår'!$F:$F,'2. studieår'!#REF!</definedName>
    <definedName name="Z_91227156_ECBD_48FD_8964_78F3608400FC_.wvu.Cols" localSheetId="2" hidden="1">'3. studieår'!$F:$F,'3. studieår'!#REF!,'3. studieår'!$K:$K</definedName>
    <definedName name="Z_91227156_ECBD_48FD_8964_78F3608400FC_.wvu.Cols" localSheetId="3" hidden="1">'4. studieår'!#REF!,'4. studieår'!#REF!,'4. studieår'!$M:$M</definedName>
    <definedName name="Z_91227156_ECBD_48FD_8964_78F3608400FC_.wvu.PrintArea" localSheetId="7" hidden="1">Buddyarket!$A$1:$O$25</definedName>
    <definedName name="Z_91227156_ECBD_48FD_8964_78F3608400FC_.wvu.Rows" localSheetId="0" hidden="1">'1. studieår'!$4:$4,'1. studieår'!$35:$35</definedName>
    <definedName name="Z_91227156_ECBD_48FD_8964_78F3608400FC_.wvu.Rows" localSheetId="1" hidden="1">'2. studieår'!$36:$36</definedName>
    <definedName name="Z_91227156_ECBD_48FD_8964_78F3608400FC_.wvu.Rows" localSheetId="2" hidden="1">'3. studieår'!$2:$2,'3. studieår'!$36:$36</definedName>
    <definedName name="Z_91227156_ECBD_48FD_8964_78F3608400FC_.wvu.Rows" localSheetId="3" hidden="1">'4. studieår'!$34:$34</definedName>
    <definedName name="Z_96F3D653_3E18_45D1_BCF3_9480EFDD711C_.wvu.PrintArea" localSheetId="6" hidden="1">'Oppsummering '!$A$1:$I$37</definedName>
    <definedName name="Z_AC2983A2_F978_40B7_A196_35F34E705157_.wvu.Cols" localSheetId="0" hidden="1">'1. studieår'!$F:$G,'1. studieår'!$J:$J,'1. studieår'!$M:$M,'1. studieår'!$P:$Q,'1. studieår'!$AM:$AN</definedName>
    <definedName name="Z_AC2983A2_F978_40B7_A196_35F34E705157_.wvu.Cols" localSheetId="1" hidden="1">'2. studieår'!$F:$F,'2. studieår'!$H:$H,'2. studieår'!#REF!</definedName>
    <definedName name="Z_AC2983A2_F978_40B7_A196_35F34E705157_.wvu.Cols" localSheetId="2" hidden="1">'3. studieår'!$F:$G,'3. studieår'!#REF!,'3. studieår'!$K:$K,'3. studieår'!#REF!</definedName>
    <definedName name="Z_AC2983A2_F978_40B7_A196_35F34E705157_.wvu.Cols" localSheetId="3" hidden="1">'4. studieår'!#REF!,'4. studieår'!#REF!,'4. studieår'!$K:$M</definedName>
    <definedName name="Z_AC2983A2_F978_40B7_A196_35F34E705157_.wvu.Cols" localSheetId="4" hidden="1">Valgemner!$K:$K</definedName>
    <definedName name="Z_AC2983A2_F978_40B7_A196_35F34E705157_.wvu.FilterData" localSheetId="7" hidden="1">Buddyarket!$A$3:$R$35</definedName>
    <definedName name="Z_AC2983A2_F978_40B7_A196_35F34E705157_.wvu.PrintArea" localSheetId="7" hidden="1">Buddyarket!$A$1:$O$25</definedName>
    <definedName name="Z_AC2983A2_F978_40B7_A196_35F34E705157_.wvu.Rows" localSheetId="0" hidden="1">'1. studieår'!$25:$25</definedName>
    <definedName name="Z_B76C0EA9_E79B_4DA2_9ADE_66DB47109F8F_.wvu.Cols" localSheetId="0" hidden="1">'1. studieår'!$F:$F,'1. studieår'!$I:$I,'1. studieår'!$M:$M</definedName>
    <definedName name="Z_B76C0EA9_E79B_4DA2_9ADE_66DB47109F8F_.wvu.Cols" localSheetId="1" hidden="1">'2. studieår'!$F:$F,'2. studieår'!#REF!</definedName>
    <definedName name="Z_B76C0EA9_E79B_4DA2_9ADE_66DB47109F8F_.wvu.Cols" localSheetId="2" hidden="1">'3. studieår'!$F:$F,'3. studieår'!#REF!,'3. studieår'!$K:$K</definedName>
    <definedName name="Z_B76C0EA9_E79B_4DA2_9ADE_66DB47109F8F_.wvu.Cols" localSheetId="3" hidden="1">'4. studieår'!#REF!,'4. studieår'!#REF!,'4. studieår'!$M:$M</definedName>
    <definedName name="Z_B76C0EA9_E79B_4DA2_9ADE_66DB47109F8F_.wvu.PrintArea" localSheetId="7" hidden="1">Buddyarket!$A$1:$O$25</definedName>
    <definedName name="Z_B76C0EA9_E79B_4DA2_9ADE_66DB47109F8F_.wvu.Rows" localSheetId="0" hidden="1">'1. studieår'!$4:$4,'1. studieår'!$35:$35</definedName>
    <definedName name="Z_B76C0EA9_E79B_4DA2_9ADE_66DB47109F8F_.wvu.Rows" localSheetId="1" hidden="1">'2. studieår'!$36:$36</definedName>
    <definedName name="Z_B76C0EA9_E79B_4DA2_9ADE_66DB47109F8F_.wvu.Rows" localSheetId="2" hidden="1">'3. studieår'!$2:$2,'3. studieår'!$36:$36</definedName>
    <definedName name="Z_B76C0EA9_E79B_4DA2_9ADE_66DB47109F8F_.wvu.Rows" localSheetId="3" hidden="1">'4. studieår'!$34:$34</definedName>
    <definedName name="Z_BB9ED292_532F_438C_A4A6_F8D66D70E0E7_.wvu.Cols" localSheetId="0" hidden="1">'1. studieår'!$F:$F,'1. studieår'!$I:$I,'1. studieår'!$M:$M</definedName>
    <definedName name="Z_BB9ED292_532F_438C_A4A6_F8D66D70E0E7_.wvu.Cols" localSheetId="1" hidden="1">'2. studieår'!$F:$F,'2. studieår'!#REF!</definedName>
    <definedName name="Z_BB9ED292_532F_438C_A4A6_F8D66D70E0E7_.wvu.Cols" localSheetId="2" hidden="1">'3. studieår'!$F:$F,'3. studieår'!#REF!,'3. studieår'!$K:$K</definedName>
    <definedName name="Z_BB9ED292_532F_438C_A4A6_F8D66D70E0E7_.wvu.Cols" localSheetId="3" hidden="1">'4. studieår'!#REF!,'4. studieår'!#REF!,'4. studieår'!$M:$M</definedName>
    <definedName name="Z_BB9ED292_532F_438C_A4A6_F8D66D70E0E7_.wvu.PrintArea" localSheetId="7" hidden="1">Buddyarket!$A$1:$O$25</definedName>
    <definedName name="Z_BB9ED292_532F_438C_A4A6_F8D66D70E0E7_.wvu.Rows" localSheetId="0" hidden="1">'1. studieår'!$4:$4,'1. studieår'!$35:$35</definedName>
    <definedName name="Z_BB9ED292_532F_438C_A4A6_F8D66D70E0E7_.wvu.Rows" localSheetId="1" hidden="1">'2. studieår'!$36:$36</definedName>
    <definedName name="Z_BB9ED292_532F_438C_A4A6_F8D66D70E0E7_.wvu.Rows" localSheetId="2" hidden="1">'3. studieår'!$2:$2,'3. studieår'!$36:$36</definedName>
    <definedName name="Z_BB9ED292_532F_438C_A4A6_F8D66D70E0E7_.wvu.Rows" localSheetId="3" hidden="1">'4. studieår'!$34:$34</definedName>
    <definedName name="Z_C1FECEF4_D739_4F39_9B89_CF4C04A77A9B_.wvu.Cols" localSheetId="0" hidden="1">'1. studieår'!$F:$F,'1. studieår'!$I:$I,'1. studieår'!$M:$M</definedName>
    <definedName name="Z_C1FECEF4_D739_4F39_9B89_CF4C04A77A9B_.wvu.Cols" localSheetId="1" hidden="1">'2. studieår'!$F:$F,'2. studieår'!#REF!</definedName>
    <definedName name="Z_C1FECEF4_D739_4F39_9B89_CF4C04A77A9B_.wvu.Cols" localSheetId="2" hidden="1">'3. studieår'!$F:$F,'3. studieår'!#REF!,'3. studieår'!$K:$K</definedName>
    <definedName name="Z_C1FECEF4_D739_4F39_9B89_CF4C04A77A9B_.wvu.Cols" localSheetId="3" hidden="1">'4. studieår'!#REF!,'4. studieår'!#REF!,'4. studieår'!$M:$M</definedName>
    <definedName name="Z_C1FECEF4_D739_4F39_9B89_CF4C04A77A9B_.wvu.PrintArea" localSheetId="7" hidden="1">Buddyarket!$A$1:$O$25</definedName>
    <definedName name="Z_C1FECEF4_D739_4F39_9B89_CF4C04A77A9B_.wvu.Rows" localSheetId="0" hidden="1">'1. studieår'!$4:$4,'1. studieår'!$35:$35</definedName>
    <definedName name="Z_C1FECEF4_D739_4F39_9B89_CF4C04A77A9B_.wvu.Rows" localSheetId="1" hidden="1">'2. studieår'!$36:$36</definedName>
    <definedName name="Z_C1FECEF4_D739_4F39_9B89_CF4C04A77A9B_.wvu.Rows" localSheetId="2" hidden="1">'3. studieår'!$2:$2,'3. studieår'!$36:$36</definedName>
    <definedName name="Z_C1FECEF4_D739_4F39_9B89_CF4C04A77A9B_.wvu.Rows" localSheetId="3" hidden="1">'4. studieår'!$34:$34</definedName>
    <definedName name="Z_CB7E9FB3_C7A3_44DE_98E4_19C23B487785_.wvu.Cols" localSheetId="0" hidden="1">'1. studieår'!$F:$G,'1. studieår'!$J:$J,'1. studieår'!$M:$M,'1. studieår'!$P:$Q,'1. studieår'!$AM:$AN</definedName>
    <definedName name="Z_CB7E9FB3_C7A3_44DE_98E4_19C23B487785_.wvu.Cols" localSheetId="1" hidden="1">'2. studieår'!$F:$F,'2. studieår'!$H:$H</definedName>
    <definedName name="Z_CB7E9FB3_C7A3_44DE_98E4_19C23B487785_.wvu.Cols" localSheetId="2" hidden="1">'3. studieår'!$F:$G</definedName>
    <definedName name="Z_CB7E9FB3_C7A3_44DE_98E4_19C23B487785_.wvu.Cols" localSheetId="3" hidden="1">'4. studieår'!$K:$M</definedName>
    <definedName name="Z_CB7E9FB3_C7A3_44DE_98E4_19C23B487785_.wvu.Cols" localSheetId="4" hidden="1">Valgemner!$K:$K</definedName>
    <definedName name="Z_CB7E9FB3_C7A3_44DE_98E4_19C23B487785_.wvu.FilterData" localSheetId="7" hidden="1">Buddyarket!$A$3:$R$35</definedName>
    <definedName name="Z_CB7E9FB3_C7A3_44DE_98E4_19C23B487785_.wvu.PrintArea" localSheetId="7" hidden="1">Buddyarket!$A$1:$O$25</definedName>
    <definedName name="Z_CB7E9FB3_C7A3_44DE_98E4_19C23B487785_.wvu.Rows" localSheetId="0" hidden="1">'1. studieår'!$25:$25</definedName>
    <definedName name="Z_E5349645_7714_4437_B9BC_26ED822E5BC5_.wvu.Cols" localSheetId="0" hidden="1">'1. studieår'!$F:$F,'1. studieår'!$I:$I,'1. studieår'!$M:$M,'1. studieår'!$AM:$AN</definedName>
    <definedName name="Z_E5349645_7714_4437_B9BC_26ED822E5BC5_.wvu.Cols" localSheetId="1" hidden="1">'2. studieår'!$F:$F,'2. studieår'!$H:$H,'2. studieår'!#REF!</definedName>
    <definedName name="Z_E5349645_7714_4437_B9BC_26ED822E5BC5_.wvu.Cols" localSheetId="2" hidden="1">'3. studieår'!$F:$F,'3. studieår'!#REF!,'3. studieår'!$K:$K</definedName>
    <definedName name="Z_E5349645_7714_4437_B9BC_26ED822E5BC5_.wvu.Cols" localSheetId="3" hidden="1">'4. studieår'!#REF!,'4. studieår'!#REF!,'4. studieår'!$K:$M</definedName>
    <definedName name="Z_E5349645_7714_4437_B9BC_26ED822E5BC5_.wvu.Cols" localSheetId="4" hidden="1">Valgemner!$K:$K</definedName>
    <definedName name="Z_E5349645_7714_4437_B9BC_26ED822E5BC5_.wvu.FilterData" localSheetId="7" hidden="1">Buddyarket!$A$3:$R$35</definedName>
    <definedName name="Z_E5349645_7714_4437_B9BC_26ED822E5BC5_.wvu.PrintArea" localSheetId="7" hidden="1">Buddyarket!$A$1:$O$25</definedName>
    <definedName name="Z_E5349645_7714_4437_B9BC_26ED822E5BC5_.wvu.Rows" localSheetId="0" hidden="1">'1. studieår'!$25:$25</definedName>
    <definedName name="Z_F170D8DF_3539_4353_BD8B_1F5EB452DAE5_.wvu.Cols" localSheetId="0" hidden="1">'1. studieår'!$F:$F,'1. studieår'!$I:$I,'1. studieår'!$M:$M,'1. studieår'!$AM:$AN</definedName>
    <definedName name="Z_F170D8DF_3539_4353_BD8B_1F5EB452DAE5_.wvu.Cols" localSheetId="1" hidden="1">'2. studieår'!$F:$F,'2. studieår'!$H:$H,'2. studieår'!#REF!</definedName>
    <definedName name="Z_F170D8DF_3539_4353_BD8B_1F5EB452DAE5_.wvu.Cols" localSheetId="2" hidden="1">'3. studieår'!$F:$F,'3. studieår'!#REF!,'3. studieår'!$K:$K</definedName>
    <definedName name="Z_F170D8DF_3539_4353_BD8B_1F5EB452DAE5_.wvu.Cols" localSheetId="3" hidden="1">'4. studieår'!#REF!,'4. studieår'!#REF!,'4. studieår'!$K:$M</definedName>
    <definedName name="Z_F170D8DF_3539_4353_BD8B_1F5EB452DAE5_.wvu.Cols" localSheetId="4" hidden="1">Valgemner!$K:$K</definedName>
    <definedName name="Z_F170D8DF_3539_4353_BD8B_1F5EB452DAE5_.wvu.FilterData" localSheetId="7" hidden="1">Buddyarket!$A$3:$R$35</definedName>
    <definedName name="Z_F170D8DF_3539_4353_BD8B_1F5EB452DAE5_.wvu.PrintArea" localSheetId="7" hidden="1">Buddyarket!$A$1:$O$25</definedName>
    <definedName name="Z_F170D8DF_3539_4353_BD8B_1F5EB452DAE5_.wvu.Rows" localSheetId="0" hidden="1">'1. studieår'!$25:$25</definedName>
    <definedName name="Z_F38A39FA_EF57_4062_A2AD_F3BEB88C5762_.wvu.Cols" localSheetId="0" hidden="1">'1. studieår'!$F:$F,'1. studieår'!$I:$I,'1. studieår'!$M:$M</definedName>
    <definedName name="Z_F38A39FA_EF57_4062_A2AD_F3BEB88C5762_.wvu.Cols" localSheetId="1" hidden="1">'2. studieår'!$F:$F,'2. studieår'!$H:$H,'2. studieår'!#REF!</definedName>
    <definedName name="Z_F38A39FA_EF57_4062_A2AD_F3BEB88C5762_.wvu.Cols" localSheetId="2" hidden="1">'3. studieår'!$F:$F,'3. studieår'!#REF!,'3. studieår'!$K:$K</definedName>
    <definedName name="Z_F38A39FA_EF57_4062_A2AD_F3BEB88C5762_.wvu.Cols" localSheetId="3" hidden="1">'4. studieår'!#REF!,'4. studieår'!#REF!,'4. studieår'!$M:$M</definedName>
    <definedName name="Z_F38A39FA_EF57_4062_A2AD_F3BEB88C5762_.wvu.FilterData" localSheetId="7" hidden="1">Buddyarket!$A$3:$R$35</definedName>
    <definedName name="Z_F38A39FA_EF57_4062_A2AD_F3BEB88C5762_.wvu.PrintArea" localSheetId="7" hidden="1">Buddyarket!$A$1:$O$25</definedName>
    <definedName name="Z_F727610F_D041_4412_A81F_AFD013C44971_.wvu.Cols" localSheetId="0" hidden="1">'1. studieår'!$F:$F,'1. studieår'!$I:$I,'1. studieår'!$M:$M,'1. studieår'!$AM:$AN</definedName>
    <definedName name="Z_F727610F_D041_4412_A81F_AFD013C44971_.wvu.Cols" localSheetId="1" hidden="1">'2. studieår'!$F:$F,'2. studieår'!$H:$H,'2. studieår'!#REF!</definedName>
    <definedName name="Z_F727610F_D041_4412_A81F_AFD013C44971_.wvu.Cols" localSheetId="2" hidden="1">'3. studieår'!$F:$F,'3. studieår'!#REF!,'3. studieår'!$K:$K</definedName>
    <definedName name="Z_F727610F_D041_4412_A81F_AFD013C44971_.wvu.Cols" localSheetId="3" hidden="1">'4. studieår'!#REF!,'4. studieår'!#REF!,'4. studieår'!$K:$M</definedName>
    <definedName name="Z_F727610F_D041_4412_A81F_AFD013C44971_.wvu.Cols" localSheetId="4" hidden="1">Valgemner!$K:$K</definedName>
    <definedName name="Z_F727610F_D041_4412_A81F_AFD013C44971_.wvu.FilterData" localSheetId="7" hidden="1">Buddyarket!$A$3:$R$35</definedName>
    <definedName name="Z_F727610F_D041_4412_A81F_AFD013C44971_.wvu.PrintArea" localSheetId="7" hidden="1">Buddyarket!$A$1:$O$25</definedName>
    <definedName name="Z_F727610F_D041_4412_A81F_AFD013C44971_.wvu.Rows" localSheetId="0" hidden="1">'1. studieår'!$25:$25</definedName>
  </definedNames>
  <calcPr calcId="162913"/>
  <customWorkbookViews>
    <customWorkbookView name="Anne Margit Tvenge - Personal View" guid="{54055508-3439-4A0A-A803-01A23ABF8DBD}" mergeInterval="0" personalView="1" maximized="1" xWindow="1912" yWindow="-8" windowWidth="1936" windowHeight="1176" activeSheetId="1"/>
    <customWorkbookView name="Kari Malene Jørgensen Dyrstad - Personal View" guid="{7084DC93-B2BE-4098-87E1-DAC5FBCE0E0A}" mergeInterval="0" personalView="1" maximized="1" xWindow="-8" yWindow="-8" windowWidth="1382" windowHeight="744" activeSheetId="3"/>
    <customWorkbookView name="Vibeke Andersen - Personal View" guid="{37BC2192-ABF8-4439-93C4-8E65E7EF90F5}" mergeInterval="0" personalView="1" maximized="1" xWindow="-11" yWindow="-11" windowWidth="1942" windowHeight="1042" activeSheetId="4"/>
    <customWorkbookView name="Julie Orning - Personal View" guid="{1283C6B5-B05C-447B-8854-CDB081C03FD4}" mergeInterval="0" personalView="1" maximized="1" xWindow="-11" yWindow="-11" windowWidth="1942" windowHeight="1042" activeSheetId="1"/>
    <customWorkbookView name="Julie Orning - Personlig visning" guid="{F170D8DF-3539-4353-BD8B-1F5EB452DAE5}" mergeInterval="0" personalView="1" maximized="1" xWindow="-9" yWindow="-9" windowWidth="3458" windowHeight="1410" activeSheetId="4"/>
    <customWorkbookView name="Trond Skjeie - Personal View" guid="{F727610F-D041-4412-A81F-AFD013C44971}" mergeInterval="0" personalView="1" maximized="1" xWindow="-8" yWindow="-8" windowWidth="1936" windowHeight="1056" activeSheetId="7"/>
    <customWorkbookView name="Eivind Roll - Personal View" guid="{46AB9545-8BEE-4A2F-B820-9F80AC24A11B}" mergeInterval="0" personalView="1" maximized="1" xWindow="-8" yWindow="-8" windowWidth="1296" windowHeight="776" activeSheetId="1"/>
    <customWorkbookView name="Fredrikke Holt Kleivane - Personal View" guid="{E5349645-7714-4437-B9BC-26ED822E5BC5}" mergeInterval="0" personalView="1" maximized="1" windowWidth="1920" windowHeight="975" activeSheetId="4"/>
    <customWorkbookView name="Nina Lofstad - Personal View" guid="{43EFFC0A-CCC0-43DD-A273-4AF58757EC00}" mergeInterval="0" personalView="1" maximized="1" windowWidth="1920" windowHeight="974" activeSheetId="3"/>
    <customWorkbookView name="Morten Slind Olsen - Personal View" guid="{7AE955BB-7BF8-4CA4-ABF1-6A0BB53A48AD}" mergeInterval="0" personalView="1" maximized="1" windowWidth="1920" windowHeight="975" activeSheetId="5"/>
    <customWorkbookView name="Anne-Brit Strandset - Personal View" guid="{BB9ED292-532F-438C-A4A6-F8D66D70E0E7}" mergeInterval="0" personalView="1" maximized="1" windowWidth="1920" windowHeight="821" activeSheetId="5"/>
    <customWorkbookView name="Maria Haldeaki - Personal View" guid="{726FF687-50E0-4F8A-BCCB-6DA9E6D367D4}" mergeInterval="0" personalView="1" maximized="1" windowWidth="1920" windowHeight="1043" activeSheetId="1"/>
    <customWorkbookView name="Karoline Stensvik - Personal View" guid="{B76C0EA9-E79B-4DA2-9ADE-66DB47109F8F}" mergeInterval="0" personalView="1" maximized="1" windowWidth="1920" windowHeight="975" activeSheetId="4"/>
    <customWorkbookView name="tronsk - Personal View" guid="{91227156-ECBD-48FD-8964-78F3608400FC}" mergeInterval="0" personalView="1" maximized="1" xWindow="1" yWindow="1" windowWidth="1020" windowHeight="496" activeSheetId="7"/>
    <customWorkbookView name="Nina Lofstad - Personlig visning" guid="{1241DC17-BD41-46C5-9DB1-684763A09F24}" mergeInterval="0" personalView="1" maximized="1" windowWidth="1920" windowHeight="980" activeSheetId="3"/>
    <customWorkbookView name="Elisabeth Reien - Personal View" guid="{C1FECEF4-D739-4F39-9B89-CF4C04A77A9B}" mergeInterval="0" personalView="1" maximized="1" windowWidth="1920" windowHeight="1063" activeSheetId="5"/>
    <customWorkbookView name="Lillian M. Stang Almaas - Personal View" guid="{83C69039-3E29-46E1-85FB-B9165E0BFA91}" mergeInterval="0" personalView="1" maximized="1" windowWidth="1920" windowHeight="994" activeSheetId="2"/>
    <customWorkbookView name="&quot;lilliaal&quot; - Personal View" guid="{F38A39FA-EF57-4062-A2AD-F3BEB88C5762}" mergeInterval="0" personalView="1" maximized="1" windowWidth="1362" windowHeight="488" activeSheetId="2"/>
    <customWorkbookView name="Elisabeth Ulleberg - Personal View" guid="{749D43A3-052D-442F-AE88-F6CCB83A1282}" mergeInterval="0" personalView="1" maximized="1" windowWidth="1276" windowHeight="575" activeSheetId="2"/>
    <customWorkbookView name="Eivor Daae Mæland - Personal View" guid="{AC2983A2-F978-40B7-A196-35F34E705157}" mergeInterval="0" personalView="1" maximized="1" xWindow="1912" yWindow="-8" windowWidth="1936" windowHeight="1176" activeSheetId="4"/>
    <customWorkbookView name="Anders Westbye - Personal View" guid="{2A2C752C-8C42-4F9A-A40C-FE7F7014F210}" mergeInterval="0" personalView="1" xWindow="150" yWindow="150" windowWidth="1700" windowHeight="849" activeSheetId="2"/>
    <customWorkbookView name="Vibeke Andersen - Personlig visning" guid="{0E885D9C-CD7C-4655-8709-41793617E0A7}" mergeInterval="0" personalView="1" maximized="1" xWindow="-8" yWindow="-8" windowWidth="1936" windowHeight="1176" activeSheetId="4"/>
    <customWorkbookView name="Trond Skjeie - Personlig visning" guid="{CB7E9FB3-C7A3-44DE-98E4-19C23B48778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X9" i="4" l="1"/>
  <c r="AA9" i="3"/>
  <c r="AA10" i="3"/>
  <c r="AA11" i="3"/>
  <c r="X20" i="1"/>
  <c r="AA20" i="1"/>
  <c r="AD20" i="1"/>
  <c r="AE20" i="1"/>
  <c r="AH20" i="1"/>
  <c r="AJ20" i="1"/>
  <c r="AI20" i="1" s="1"/>
  <c r="X14" i="1"/>
  <c r="AA15" i="1"/>
  <c r="X13" i="1"/>
  <c r="W30" i="4" l="1"/>
  <c r="V30" i="4"/>
  <c r="AE9" i="4"/>
  <c r="X30" i="4" l="1"/>
  <c r="S24" i="3"/>
  <c r="R24" i="3"/>
  <c r="T17" i="3"/>
  <c r="T16" i="3"/>
  <c r="C10" i="3"/>
  <c r="Z11" i="3"/>
  <c r="W11" i="3"/>
  <c r="W9" i="3"/>
  <c r="O11" i="3"/>
  <c r="N11" i="3"/>
  <c r="T24" i="3" l="1"/>
  <c r="P11" i="3"/>
  <c r="Q11" i="3" s="1"/>
  <c r="AE17" i="4"/>
  <c r="S30" i="4"/>
  <c r="R30" i="4"/>
  <c r="T28" i="4"/>
  <c r="U28" i="4" s="1"/>
  <c r="T27" i="4"/>
  <c r="U27" i="4" s="1"/>
  <c r="T26" i="4"/>
  <c r="U26" i="4" s="1"/>
  <c r="T25" i="4"/>
  <c r="U25" i="4" s="1"/>
  <c r="T24" i="4"/>
  <c r="U24" i="4" s="1"/>
  <c r="T23" i="4"/>
  <c r="U23" i="4" s="1"/>
  <c r="T21" i="4"/>
  <c r="U21" i="4" s="1"/>
  <c r="T20" i="4"/>
  <c r="U20" i="4" s="1"/>
  <c r="T19" i="4"/>
  <c r="U19" i="4" s="1"/>
  <c r="T12" i="4"/>
  <c r="U12" i="4" s="1"/>
  <c r="T13" i="4"/>
  <c r="U13" i="4" s="1"/>
  <c r="T14" i="4"/>
  <c r="U14" i="4" s="1"/>
  <c r="T15" i="4"/>
  <c r="U15" i="4" s="1"/>
  <c r="T11" i="4"/>
  <c r="U11" i="4" s="1"/>
  <c r="T30" i="4" l="1"/>
  <c r="U30" i="4"/>
  <c r="F18" i="7"/>
  <c r="F17" i="7"/>
  <c r="F15" i="7"/>
  <c r="F13" i="7"/>
  <c r="F12" i="7"/>
  <c r="F11" i="7"/>
  <c r="F10" i="7"/>
  <c r="F9" i="7"/>
  <c r="I7" i="7"/>
  <c r="I6" i="7"/>
  <c r="I5" i="7"/>
  <c r="I4" i="7"/>
  <c r="F7" i="7"/>
  <c r="F6" i="7"/>
  <c r="F5" i="7"/>
  <c r="F4" i="7"/>
  <c r="I3" i="7"/>
  <c r="F3" i="7"/>
  <c r="J48" i="5" l="1"/>
  <c r="F48" i="5"/>
  <c r="G48" i="5" s="1"/>
  <c r="J47" i="5"/>
  <c r="F47" i="5"/>
  <c r="G47" i="5" s="1"/>
  <c r="O28" i="4" l="1"/>
  <c r="O27" i="4"/>
  <c r="O26" i="4"/>
  <c r="O25" i="4"/>
  <c r="O24" i="4"/>
  <c r="O23" i="4"/>
  <c r="O21" i="4"/>
  <c r="O20" i="4"/>
  <c r="O19" i="4"/>
  <c r="O15" i="4"/>
  <c r="O14" i="4"/>
  <c r="O13" i="4"/>
  <c r="O12" i="4"/>
  <c r="O11" i="4"/>
  <c r="N28" i="4"/>
  <c r="N27" i="4"/>
  <c r="N26" i="4"/>
  <c r="N25" i="4"/>
  <c r="N24" i="4"/>
  <c r="N23" i="4"/>
  <c r="N21" i="4"/>
  <c r="N20" i="4"/>
  <c r="N19" i="4"/>
  <c r="N15" i="4"/>
  <c r="N14" i="4"/>
  <c r="N13" i="4"/>
  <c r="N12" i="4"/>
  <c r="N11" i="4"/>
  <c r="O22" i="3"/>
  <c r="O20" i="3"/>
  <c r="N22" i="3"/>
  <c r="N20" i="3"/>
  <c r="O17" i="3"/>
  <c r="O16" i="3"/>
  <c r="O12" i="3"/>
  <c r="O10" i="3"/>
  <c r="O9" i="3"/>
  <c r="N17" i="3"/>
  <c r="N16" i="3"/>
  <c r="N12" i="3"/>
  <c r="N10" i="3"/>
  <c r="N9" i="3"/>
  <c r="N28" i="2"/>
  <c r="N27" i="2"/>
  <c r="N25" i="2"/>
  <c r="N24" i="2"/>
  <c r="N23" i="2"/>
  <c r="N22" i="2"/>
  <c r="N21" i="2"/>
  <c r="N20" i="2"/>
  <c r="N19" i="2"/>
  <c r="N15" i="2"/>
  <c r="N14" i="2"/>
  <c r="N13" i="2"/>
  <c r="N12" i="2"/>
  <c r="N11" i="2"/>
  <c r="N10" i="2"/>
  <c r="N7" i="2"/>
  <c r="M28" i="2"/>
  <c r="M27" i="2"/>
  <c r="M25" i="2"/>
  <c r="M23" i="2"/>
  <c r="M22" i="2"/>
  <c r="M21" i="2"/>
  <c r="M20" i="2"/>
  <c r="M19" i="2"/>
  <c r="M15" i="2"/>
  <c r="M14" i="2"/>
  <c r="M13" i="2"/>
  <c r="M12" i="2"/>
  <c r="M11" i="2"/>
  <c r="M10" i="2"/>
  <c r="M7" i="2"/>
  <c r="R21" i="1"/>
  <c r="T21" i="1" s="1"/>
  <c r="U21" i="1" s="1"/>
  <c r="S21" i="1"/>
  <c r="T15" i="1"/>
  <c r="S15" i="1"/>
  <c r="R15" i="1"/>
  <c r="AJ15" i="1"/>
  <c r="AI36" i="1" l="1"/>
  <c r="AH36" i="1"/>
  <c r="Y9" i="1" l="1"/>
  <c r="C10" i="6" l="1"/>
  <c r="G17" i="7" l="1"/>
  <c r="D14" i="7" l="1"/>
  <c r="F14" i="7" s="1"/>
  <c r="G14" i="7" s="1"/>
  <c r="E18" i="6"/>
  <c r="F18" i="6" l="1"/>
  <c r="E16" i="7" s="1"/>
  <c r="L24" i="8" s="1"/>
  <c r="C11" i="6"/>
  <c r="D16" i="7" s="1"/>
  <c r="E14" i="7"/>
  <c r="L32" i="8" s="1"/>
  <c r="E76" i="5" l="1"/>
  <c r="F75" i="5"/>
  <c r="D12" i="7"/>
  <c r="G75" i="5" l="1"/>
  <c r="E28" i="1" l="1"/>
  <c r="D28" i="1"/>
  <c r="F70" i="5" l="1"/>
  <c r="D76" i="5"/>
  <c r="E26" i="6"/>
  <c r="F26" i="6" s="1"/>
  <c r="B12" i="7" l="1"/>
  <c r="G24" i="3" l="1"/>
  <c r="AD16" i="1" l="1"/>
  <c r="AA16" i="1"/>
  <c r="R16" i="1"/>
  <c r="S16" i="1"/>
  <c r="AJ16" i="1"/>
  <c r="T16" i="1" l="1"/>
  <c r="AE16" i="1" s="1"/>
  <c r="A18" i="7"/>
  <c r="U16" i="1" l="1"/>
  <c r="S22" i="1" l="1"/>
  <c r="R22" i="1"/>
  <c r="AD21" i="1"/>
  <c r="AE21" i="1" s="1"/>
  <c r="A13" i="6"/>
  <c r="F40" i="5"/>
  <c r="G40" i="5" s="1"/>
  <c r="T34" i="2"/>
  <c r="Q34" i="2"/>
  <c r="K34" i="2"/>
  <c r="C34" i="2"/>
  <c r="T22" i="1" l="1"/>
  <c r="U22" i="1" s="1"/>
  <c r="M34" i="2"/>
  <c r="N34" i="2" s="1"/>
  <c r="U34" i="2" l="1"/>
  <c r="AG25" i="3"/>
  <c r="L17" i="8" s="1"/>
  <c r="AI24" i="3"/>
  <c r="AI25" i="3" s="1"/>
  <c r="L19" i="8" s="1"/>
  <c r="AG24" i="3"/>
  <c r="Y24" i="3"/>
  <c r="X24" i="3"/>
  <c r="V24" i="3"/>
  <c r="U24" i="3"/>
  <c r="F24" i="3"/>
  <c r="E24" i="3"/>
  <c r="D24" i="3"/>
  <c r="AF22" i="3"/>
  <c r="AE22" i="3" s="1"/>
  <c r="Z22" i="3"/>
  <c r="W22" i="3"/>
  <c r="K22" i="3"/>
  <c r="AF20" i="3"/>
  <c r="Z20" i="3"/>
  <c r="W20" i="3"/>
  <c r="K20" i="3"/>
  <c r="C20" i="3"/>
  <c r="AF17" i="3"/>
  <c r="Z17" i="3"/>
  <c r="W17" i="3"/>
  <c r="K17" i="3"/>
  <c r="C17" i="3"/>
  <c r="AF16" i="3"/>
  <c r="AD16" i="3"/>
  <c r="AD25" i="3" s="1"/>
  <c r="L15" i="8" s="1"/>
  <c r="Z16" i="3"/>
  <c r="W16" i="3"/>
  <c r="K16" i="3"/>
  <c r="C16" i="3"/>
  <c r="C15" i="3"/>
  <c r="AF12" i="3"/>
  <c r="Z12" i="3"/>
  <c r="W12" i="3"/>
  <c r="AF10" i="3"/>
  <c r="Z10" i="3"/>
  <c r="W10" i="3"/>
  <c r="AF9" i="3"/>
  <c r="Z9" i="3"/>
  <c r="C9" i="3"/>
  <c r="C8" i="3"/>
  <c r="C24" i="3" l="1"/>
  <c r="P17" i="3"/>
  <c r="Q17" i="3" s="1"/>
  <c r="P22" i="3"/>
  <c r="Q22" i="3" s="1"/>
  <c r="P12" i="3"/>
  <c r="Q12" i="3" s="1"/>
  <c r="P20" i="3"/>
  <c r="Q20" i="3" s="1"/>
  <c r="Z24" i="3"/>
  <c r="N24" i="3"/>
  <c r="O24" i="3"/>
  <c r="P16" i="3"/>
  <c r="AE16" i="3" s="1"/>
  <c r="P10" i="3"/>
  <c r="Q10" i="3" s="1"/>
  <c r="AE12" i="3"/>
  <c r="P9" i="3"/>
  <c r="W24" i="3"/>
  <c r="AD24" i="3"/>
  <c r="B11" i="1"/>
  <c r="AD22" i="2"/>
  <c r="AC22" i="2" s="1"/>
  <c r="AB22" i="2"/>
  <c r="V22" i="2"/>
  <c r="S22" i="2"/>
  <c r="C22" i="2"/>
  <c r="AB11" i="2"/>
  <c r="AD11" i="2"/>
  <c r="AC11" i="2" s="1"/>
  <c r="V11" i="2"/>
  <c r="S11" i="2"/>
  <c r="C11" i="2"/>
  <c r="AB28" i="2"/>
  <c r="AA28" i="2" s="1"/>
  <c r="AD28" i="2"/>
  <c r="AC28" i="2" s="1"/>
  <c r="V28" i="2"/>
  <c r="S28" i="2"/>
  <c r="AB13" i="2"/>
  <c r="AD13" i="2"/>
  <c r="AC13" i="2" s="1"/>
  <c r="V13" i="2"/>
  <c r="S13" i="2"/>
  <c r="AA16" i="3" l="1"/>
  <c r="AA17" i="3"/>
  <c r="AA22" i="3"/>
  <c r="AE20" i="3"/>
  <c r="Q16" i="3"/>
  <c r="AE17" i="3"/>
  <c r="AA12" i="3"/>
  <c r="AA20" i="3"/>
  <c r="AH25" i="3"/>
  <c r="O22" i="2"/>
  <c r="W22" i="2" s="1"/>
  <c r="Q9" i="3"/>
  <c r="P24" i="3"/>
  <c r="B5" i="7" s="1"/>
  <c r="O11" i="2"/>
  <c r="P11" i="2" s="1"/>
  <c r="O13" i="2"/>
  <c r="P13" i="2" s="1"/>
  <c r="O28" i="2"/>
  <c r="P28" i="2" s="1"/>
  <c r="Q24" i="3" l="1"/>
  <c r="AB24" i="3" s="1"/>
  <c r="D5" i="7" s="1"/>
  <c r="E5" i="7" s="1"/>
  <c r="AE24" i="3"/>
  <c r="AH24" i="3"/>
  <c r="L18" i="8"/>
  <c r="AA22" i="2"/>
  <c r="AE25" i="3"/>
  <c r="L16" i="8" s="1"/>
  <c r="P22" i="2"/>
  <c r="AA13" i="2"/>
  <c r="AA24" i="3"/>
  <c r="C5" i="7" s="1"/>
  <c r="AA11" i="2"/>
  <c r="W13" i="2"/>
  <c r="W11" i="2"/>
  <c r="W28" i="2"/>
  <c r="G7" i="7"/>
  <c r="G6" i="7"/>
  <c r="G5" i="7"/>
  <c r="G4" i="7"/>
  <c r="G3" i="7"/>
  <c r="AB27" i="2" l="1"/>
  <c r="AB26" i="2"/>
  <c r="AB25" i="2"/>
  <c r="AB24" i="2"/>
  <c r="AB23" i="2"/>
  <c r="AB21" i="2"/>
  <c r="AB20" i="2"/>
  <c r="AB19" i="2"/>
  <c r="AB15" i="2"/>
  <c r="AB14" i="2"/>
  <c r="AB12" i="2"/>
  <c r="AB10" i="2"/>
  <c r="AK30" i="4" l="1"/>
  <c r="AL31" i="4"/>
  <c r="AK31" i="4"/>
  <c r="Z30" i="2"/>
  <c r="B20" i="6" l="1"/>
  <c r="AM28" i="4"/>
  <c r="AM27" i="4"/>
  <c r="AM26" i="4"/>
  <c r="AM25" i="4"/>
  <c r="AM24" i="4"/>
  <c r="AM23" i="4"/>
  <c r="AM21" i="4"/>
  <c r="AM20" i="4"/>
  <c r="AM19" i="4"/>
  <c r="AM15" i="4"/>
  <c r="AM14" i="4"/>
  <c r="AM13" i="4"/>
  <c r="AM11" i="4"/>
  <c r="AM12" i="4"/>
  <c r="AJ21" i="4"/>
  <c r="AJ28" i="4"/>
  <c r="AI28" i="4" s="1"/>
  <c r="AJ27" i="4"/>
  <c r="AI27" i="4" s="1"/>
  <c r="AJ26" i="4"/>
  <c r="AI26" i="4" s="1"/>
  <c r="AJ25" i="4"/>
  <c r="AJ24" i="4"/>
  <c r="AJ23" i="4"/>
  <c r="AI23" i="4" s="1"/>
  <c r="AJ20" i="4"/>
  <c r="AJ19" i="4"/>
  <c r="AI19" i="4" s="1"/>
  <c r="AJ15" i="4"/>
  <c r="AI15" i="4" s="1"/>
  <c r="AJ14" i="4"/>
  <c r="AI14" i="4" s="1"/>
  <c r="AJ13" i="4"/>
  <c r="AJ12" i="4"/>
  <c r="AJ11" i="4"/>
  <c r="AA15" i="2"/>
  <c r="AB7" i="2"/>
  <c r="AI27" i="1"/>
  <c r="AJ26" i="1"/>
  <c r="AI26" i="1" s="1"/>
  <c r="AJ24" i="1"/>
  <c r="AI24" i="1" s="1"/>
  <c r="AJ23" i="1"/>
  <c r="AJ14" i="1"/>
  <c r="AI14" i="1" s="1"/>
  <c r="AJ13" i="1"/>
  <c r="AJ12" i="1"/>
  <c r="AI12" i="1" s="1"/>
  <c r="AJ10" i="1"/>
  <c r="AI10" i="1" s="1"/>
  <c r="E20" i="6" l="1"/>
  <c r="C13" i="6" s="1"/>
  <c r="D18" i="7" s="1"/>
  <c r="L33" i="8"/>
  <c r="AJ31" i="4"/>
  <c r="J37" i="5" l="1"/>
  <c r="K37" i="5"/>
  <c r="J38" i="5"/>
  <c r="K38" i="5"/>
  <c r="J39" i="5"/>
  <c r="K39" i="5"/>
  <c r="J41" i="5"/>
  <c r="K41" i="5"/>
  <c r="F41" i="5"/>
  <c r="G41" i="5" s="1"/>
  <c r="F39" i="5"/>
  <c r="G39" i="5" s="1"/>
  <c r="F38" i="5"/>
  <c r="G38" i="5" s="1"/>
  <c r="F37" i="5"/>
  <c r="G37" i="5" s="1"/>
  <c r="C41" i="5"/>
  <c r="C39" i="5"/>
  <c r="C38" i="5"/>
  <c r="C37" i="5"/>
  <c r="F74" i="5" l="1"/>
  <c r="G74" i="5" s="1"/>
  <c r="F73" i="5"/>
  <c r="G73" i="5" s="1"/>
  <c r="AD10" i="2" l="1"/>
  <c r="AC10" i="2" s="1"/>
  <c r="AD12" i="2"/>
  <c r="AC12" i="2" s="1"/>
  <c r="AD14" i="2"/>
  <c r="AC14" i="2" s="1"/>
  <c r="AD15" i="2"/>
  <c r="AC15" i="2" s="1"/>
  <c r="AD19" i="2"/>
  <c r="AC19" i="2" s="1"/>
  <c r="AD20" i="2"/>
  <c r="AC20" i="2" s="1"/>
  <c r="AD21" i="2"/>
  <c r="AC21" i="2" s="1"/>
  <c r="AD23" i="2"/>
  <c r="AC23" i="2" s="1"/>
  <c r="AD24" i="2"/>
  <c r="AC24" i="2" s="1"/>
  <c r="AD25" i="2"/>
  <c r="AC25" i="2" s="1"/>
  <c r="AD26" i="2"/>
  <c r="AC26" i="2" s="1"/>
  <c r="AD27" i="2"/>
  <c r="AC27" i="2" s="1"/>
  <c r="AD7" i="2"/>
  <c r="AC7" i="2" s="1"/>
  <c r="V15" i="2"/>
  <c r="S15" i="2"/>
  <c r="AC30" i="2" l="1"/>
  <c r="O15" i="2"/>
  <c r="P15" i="2" s="1"/>
  <c r="G15" i="7" l="1"/>
  <c r="G10" i="7"/>
  <c r="F19" i="7" l="1"/>
  <c r="AA26" i="2"/>
  <c r="D13" i="7" l="1"/>
  <c r="E13" i="7" s="1"/>
  <c r="L31" i="8" s="1"/>
  <c r="J36" i="9" l="1"/>
  <c r="H36" i="9"/>
  <c r="G36" i="9"/>
  <c r="F36" i="9"/>
  <c r="E36" i="9"/>
  <c r="D36" i="9"/>
  <c r="C36" i="9"/>
  <c r="B36" i="9"/>
  <c r="E19" i="6"/>
  <c r="C12" i="6" s="1"/>
  <c r="D17" i="7" s="1"/>
  <c r="E17" i="7" s="1"/>
  <c r="L26" i="8" s="1"/>
  <c r="AD28" i="4"/>
  <c r="AD27" i="4"/>
  <c r="AD26" i="4"/>
  <c r="AD25" i="4"/>
  <c r="AD24" i="4"/>
  <c r="AD23" i="4"/>
  <c r="AD22" i="4"/>
  <c r="AE22" i="4" s="1"/>
  <c r="AD21" i="4"/>
  <c r="AD20" i="4"/>
  <c r="AD19" i="4"/>
  <c r="AD16" i="4"/>
  <c r="AE16" i="4" s="1"/>
  <c r="AD15" i="4"/>
  <c r="AD14" i="4"/>
  <c r="AD13" i="4"/>
  <c r="AD12" i="4"/>
  <c r="AD11" i="4"/>
  <c r="AD30" i="4" l="1"/>
  <c r="G13" i="7"/>
  <c r="G12" i="7"/>
  <c r="G11" i="7"/>
  <c r="G9" i="7"/>
  <c r="AA15" i="4"/>
  <c r="L15" i="4"/>
  <c r="G19" i="7" l="1"/>
  <c r="P15" i="4"/>
  <c r="AE15" i="4" s="1"/>
  <c r="AJ29" i="4"/>
  <c r="AI29" i="4" s="1"/>
  <c r="AM22" i="4"/>
  <c r="AM18" i="4"/>
  <c r="AM17" i="4"/>
  <c r="L28" i="1"/>
  <c r="O28" i="1"/>
  <c r="AJ25" i="1"/>
  <c r="AI25" i="1" s="1"/>
  <c r="Q15" i="4" l="1"/>
  <c r="C71" i="5" l="1"/>
  <c r="F71" i="5"/>
  <c r="G71" i="5" s="1"/>
  <c r="J71" i="5"/>
  <c r="F72" i="5"/>
  <c r="G72" i="5" s="1"/>
  <c r="C72" i="5"/>
  <c r="V20" i="2" l="1"/>
  <c r="V21" i="2"/>
  <c r="V23" i="2"/>
  <c r="V24" i="2"/>
  <c r="V25" i="2"/>
  <c r="V27" i="2"/>
  <c r="V19" i="2"/>
  <c r="V12" i="2"/>
  <c r="V14" i="2"/>
  <c r="V10" i="2"/>
  <c r="V7" i="2"/>
  <c r="S20" i="2"/>
  <c r="S21" i="2"/>
  <c r="S23" i="2"/>
  <c r="S24" i="2"/>
  <c r="S25" i="2"/>
  <c r="S27" i="2"/>
  <c r="S19" i="2"/>
  <c r="S12" i="2"/>
  <c r="S14" i="2"/>
  <c r="S10" i="2"/>
  <c r="S7" i="2"/>
  <c r="AD13" i="1"/>
  <c r="AD14" i="1"/>
  <c r="AD23" i="1"/>
  <c r="AD24" i="1"/>
  <c r="AD25" i="1"/>
  <c r="AD26" i="1"/>
  <c r="AD12" i="1"/>
  <c r="AA13" i="1"/>
  <c r="AA14" i="1"/>
  <c r="AA23" i="1"/>
  <c r="AA24" i="1"/>
  <c r="AA25" i="1"/>
  <c r="AA26" i="1"/>
  <c r="AA12" i="1"/>
  <c r="AA28" i="4"/>
  <c r="AA27" i="4"/>
  <c r="AA26" i="4"/>
  <c r="AA25" i="4"/>
  <c r="AA24" i="4"/>
  <c r="AA23" i="4"/>
  <c r="AA21" i="4"/>
  <c r="AA20" i="4"/>
  <c r="AA19" i="4"/>
  <c r="AA12" i="4"/>
  <c r="AA13" i="4"/>
  <c r="AA14" i="4"/>
  <c r="AA11" i="4"/>
  <c r="F26" i="5"/>
  <c r="G26" i="5" s="1"/>
  <c r="C26" i="5"/>
  <c r="C30" i="5"/>
  <c r="F30" i="5"/>
  <c r="G30" i="5" s="1"/>
  <c r="AB28" i="1"/>
  <c r="L7" i="8"/>
  <c r="D9" i="7"/>
  <c r="E9" i="7" s="1"/>
  <c r="L28" i="8" s="1"/>
  <c r="E23" i="6"/>
  <c r="E24" i="6"/>
  <c r="F24" i="6" s="1"/>
  <c r="E25" i="6"/>
  <c r="E28" i="6"/>
  <c r="F28" i="6" s="1"/>
  <c r="E29" i="6"/>
  <c r="F29" i="6" s="1"/>
  <c r="E30" i="6"/>
  <c r="F30" i="6" s="1"/>
  <c r="E31" i="6"/>
  <c r="F31" i="6" s="1"/>
  <c r="E32" i="6"/>
  <c r="F32" i="6" s="1"/>
  <c r="E34" i="6"/>
  <c r="F34" i="6" s="1"/>
  <c r="C6" i="5"/>
  <c r="F6" i="5"/>
  <c r="J6" i="5"/>
  <c r="K6" i="5"/>
  <c r="C7" i="5"/>
  <c r="F7" i="5"/>
  <c r="G7" i="5" s="1"/>
  <c r="J7" i="5"/>
  <c r="K7" i="5"/>
  <c r="C8" i="5"/>
  <c r="F8" i="5"/>
  <c r="G8" i="5" s="1"/>
  <c r="J8" i="5"/>
  <c r="K8" i="5"/>
  <c r="C9" i="5"/>
  <c r="F9" i="5"/>
  <c r="G9" i="5" s="1"/>
  <c r="J9" i="5"/>
  <c r="K9" i="5"/>
  <c r="C10" i="5"/>
  <c r="F10" i="5"/>
  <c r="G10" i="5" s="1"/>
  <c r="J10" i="5"/>
  <c r="K10" i="5"/>
  <c r="C11" i="5"/>
  <c r="F11" i="5"/>
  <c r="G11" i="5" s="1"/>
  <c r="J11" i="5"/>
  <c r="K11" i="5"/>
  <c r="C12" i="5"/>
  <c r="F12" i="5"/>
  <c r="G12" i="5" s="1"/>
  <c r="J12" i="5"/>
  <c r="K12" i="5"/>
  <c r="C13" i="5"/>
  <c r="F13" i="5"/>
  <c r="G13" i="5" s="1"/>
  <c r="J13" i="5"/>
  <c r="K13" i="5"/>
  <c r="C14" i="5"/>
  <c r="F14" i="5"/>
  <c r="G14" i="5" s="1"/>
  <c r="J14" i="5"/>
  <c r="K14" i="5"/>
  <c r="C15" i="5"/>
  <c r="F15" i="5"/>
  <c r="G15" i="5" s="1"/>
  <c r="J15" i="5"/>
  <c r="K15" i="5"/>
  <c r="C16" i="5"/>
  <c r="F16" i="5"/>
  <c r="G16" i="5" s="1"/>
  <c r="J16" i="5"/>
  <c r="K16" i="5"/>
  <c r="C17" i="5"/>
  <c r="F17" i="5"/>
  <c r="G17" i="5" s="1"/>
  <c r="J17" i="5"/>
  <c r="K17" i="5"/>
  <c r="C18" i="5"/>
  <c r="F18" i="5"/>
  <c r="G18" i="5" s="1"/>
  <c r="J18" i="5"/>
  <c r="K18" i="5"/>
  <c r="C19" i="5"/>
  <c r="F19" i="5"/>
  <c r="G19" i="5" s="1"/>
  <c r="J19" i="5"/>
  <c r="K19" i="5"/>
  <c r="C20" i="5"/>
  <c r="F20" i="5"/>
  <c r="G20" i="5" s="1"/>
  <c r="J20" i="5"/>
  <c r="K20" i="5"/>
  <c r="C21" i="5"/>
  <c r="F21" i="5"/>
  <c r="G21" i="5" s="1"/>
  <c r="J21" i="5"/>
  <c r="K21" i="5"/>
  <c r="C22" i="5"/>
  <c r="F22" i="5"/>
  <c r="G22" i="5" s="1"/>
  <c r="J22" i="5"/>
  <c r="K22" i="5"/>
  <c r="C23" i="5"/>
  <c r="F23" i="5"/>
  <c r="G23" i="5" s="1"/>
  <c r="J23" i="5"/>
  <c r="K23" i="5"/>
  <c r="C24" i="5"/>
  <c r="F24" i="5"/>
  <c r="G24" i="5" s="1"/>
  <c r="J24" i="5"/>
  <c r="K24" i="5"/>
  <c r="C25" i="5"/>
  <c r="F25" i="5"/>
  <c r="G25" i="5" s="1"/>
  <c r="J25" i="5"/>
  <c r="K25" i="5"/>
  <c r="C27" i="5"/>
  <c r="F27" i="5"/>
  <c r="G27" i="5" s="1"/>
  <c r="J27" i="5"/>
  <c r="K27" i="5"/>
  <c r="C28" i="5"/>
  <c r="F28" i="5"/>
  <c r="G28" i="5" s="1"/>
  <c r="J28" i="5"/>
  <c r="K28" i="5"/>
  <c r="C29" i="5"/>
  <c r="F29" i="5"/>
  <c r="G29" i="5" s="1"/>
  <c r="J29" i="5"/>
  <c r="K29" i="5"/>
  <c r="C31" i="5"/>
  <c r="F31" i="5"/>
  <c r="G31" i="5" s="1"/>
  <c r="J31" i="5"/>
  <c r="K31" i="5"/>
  <c r="C32" i="5"/>
  <c r="F32" i="5"/>
  <c r="G32" i="5" s="1"/>
  <c r="J32" i="5"/>
  <c r="K32" i="5"/>
  <c r="C33" i="5"/>
  <c r="F33" i="5"/>
  <c r="G33" i="5" s="1"/>
  <c r="J33" i="5"/>
  <c r="K33" i="5"/>
  <c r="C34" i="5"/>
  <c r="F34" i="5"/>
  <c r="G34" i="5" s="1"/>
  <c r="J34" i="5"/>
  <c r="K34" i="5"/>
  <c r="C35" i="5"/>
  <c r="F35" i="5"/>
  <c r="G35" i="5" s="1"/>
  <c r="J35" i="5"/>
  <c r="K35" i="5"/>
  <c r="C36" i="5"/>
  <c r="F36" i="5"/>
  <c r="G36" i="5" s="1"/>
  <c r="J36" i="5"/>
  <c r="K36" i="5"/>
  <c r="J42" i="5"/>
  <c r="K42" i="5"/>
  <c r="C43" i="5"/>
  <c r="F43" i="5"/>
  <c r="G43" i="5" s="1"/>
  <c r="J43" i="5"/>
  <c r="K43" i="5"/>
  <c r="C44" i="5"/>
  <c r="F44" i="5"/>
  <c r="G44" i="5" s="1"/>
  <c r="J44" i="5"/>
  <c r="K44" i="5"/>
  <c r="C45" i="5"/>
  <c r="F45" i="5"/>
  <c r="G45" i="5" s="1"/>
  <c r="J45" i="5"/>
  <c r="K45" i="5"/>
  <c r="C46" i="5"/>
  <c r="F46" i="5"/>
  <c r="G46" i="5" s="1"/>
  <c r="J46" i="5"/>
  <c r="K46" i="5"/>
  <c r="C49" i="5"/>
  <c r="F49" i="5"/>
  <c r="G49" i="5" s="1"/>
  <c r="J49" i="5"/>
  <c r="K49" i="5"/>
  <c r="C50" i="5"/>
  <c r="F50" i="5"/>
  <c r="G50" i="5" s="1"/>
  <c r="J50" i="5"/>
  <c r="K50" i="5"/>
  <c r="C51" i="5"/>
  <c r="F51" i="5"/>
  <c r="G51" i="5" s="1"/>
  <c r="J51" i="5"/>
  <c r="C52" i="5"/>
  <c r="F52" i="5"/>
  <c r="G52" i="5" s="1"/>
  <c r="J52" i="5"/>
  <c r="K52" i="5"/>
  <c r="C53" i="5"/>
  <c r="F53" i="5"/>
  <c r="G53" i="5" s="1"/>
  <c r="J53" i="5"/>
  <c r="K53" i="5"/>
  <c r="C54" i="5"/>
  <c r="F54" i="5"/>
  <c r="G54" i="5" s="1"/>
  <c r="J54" i="5"/>
  <c r="K54" i="5"/>
  <c r="C55" i="5"/>
  <c r="F55" i="5"/>
  <c r="G55" i="5" s="1"/>
  <c r="J55" i="5"/>
  <c r="K55" i="5"/>
  <c r="C56" i="5"/>
  <c r="F56" i="5"/>
  <c r="G56" i="5" s="1"/>
  <c r="J56" i="5"/>
  <c r="K56" i="5"/>
  <c r="C57" i="5"/>
  <c r="F57" i="5"/>
  <c r="G57" i="5" s="1"/>
  <c r="J57" i="5"/>
  <c r="K57" i="5"/>
  <c r="C58" i="5"/>
  <c r="F58" i="5"/>
  <c r="G58" i="5" s="1"/>
  <c r="J58" i="5"/>
  <c r="K58" i="5"/>
  <c r="C59" i="5"/>
  <c r="F59" i="5"/>
  <c r="G59" i="5" s="1"/>
  <c r="J59" i="5"/>
  <c r="K59" i="5"/>
  <c r="C70" i="5"/>
  <c r="G70" i="5"/>
  <c r="J70" i="5"/>
  <c r="K70" i="5"/>
  <c r="C60" i="5"/>
  <c r="F60" i="5"/>
  <c r="G60" i="5" s="1"/>
  <c r="J60" i="5"/>
  <c r="K60" i="5"/>
  <c r="C61" i="5"/>
  <c r="F61" i="5"/>
  <c r="G61" i="5" s="1"/>
  <c r="J61" i="5"/>
  <c r="K61" i="5"/>
  <c r="C62" i="5"/>
  <c r="F62" i="5"/>
  <c r="G62" i="5" s="1"/>
  <c r="J62" i="5"/>
  <c r="K62" i="5"/>
  <c r="C63" i="5"/>
  <c r="F63" i="5"/>
  <c r="G63" i="5" s="1"/>
  <c r="J63" i="5"/>
  <c r="K63" i="5"/>
  <c r="C64" i="5"/>
  <c r="F64" i="5"/>
  <c r="G64" i="5" s="1"/>
  <c r="J64" i="5"/>
  <c r="K64" i="5"/>
  <c r="C65" i="5"/>
  <c r="F65" i="5"/>
  <c r="G65" i="5" s="1"/>
  <c r="J65" i="5"/>
  <c r="K65" i="5"/>
  <c r="C66" i="5"/>
  <c r="F66" i="5"/>
  <c r="G66" i="5" s="1"/>
  <c r="J66" i="5"/>
  <c r="K66" i="5"/>
  <c r="C67" i="5"/>
  <c r="F67" i="5"/>
  <c r="G67" i="5" s="1"/>
  <c r="J67" i="5"/>
  <c r="K67" i="5"/>
  <c r="C68" i="5"/>
  <c r="F68" i="5"/>
  <c r="G68" i="5" s="1"/>
  <c r="J68" i="5"/>
  <c r="K68" i="5"/>
  <c r="C69" i="5"/>
  <c r="F69" i="5"/>
  <c r="G69" i="5" s="1"/>
  <c r="J69" i="5"/>
  <c r="K69" i="5"/>
  <c r="C9" i="4"/>
  <c r="C11" i="4"/>
  <c r="L11" i="4"/>
  <c r="C12" i="4"/>
  <c r="L12" i="4"/>
  <c r="C13" i="4"/>
  <c r="L13" i="4"/>
  <c r="L14" i="4"/>
  <c r="AH18" i="4"/>
  <c r="C18" i="4"/>
  <c r="AH19" i="4"/>
  <c r="L19" i="4"/>
  <c r="C20" i="4"/>
  <c r="C21" i="4"/>
  <c r="L21" i="4"/>
  <c r="C24" i="4"/>
  <c r="L24" i="4"/>
  <c r="C25" i="4"/>
  <c r="L25" i="4"/>
  <c r="C26" i="4"/>
  <c r="L28" i="4"/>
  <c r="D30" i="4"/>
  <c r="E30" i="4"/>
  <c r="Y30" i="4"/>
  <c r="Z30" i="4"/>
  <c r="L22" i="8"/>
  <c r="W8" i="2"/>
  <c r="C9" i="2"/>
  <c r="W9" i="2"/>
  <c r="C10" i="2"/>
  <c r="C12" i="2"/>
  <c r="W15" i="2"/>
  <c r="W17" i="2"/>
  <c r="C18" i="2"/>
  <c r="W18" i="2"/>
  <c r="C19" i="2"/>
  <c r="C20" i="2"/>
  <c r="C21" i="2"/>
  <c r="AA23" i="2"/>
  <c r="M24" i="2"/>
  <c r="D30" i="2"/>
  <c r="E30" i="2"/>
  <c r="F30" i="2"/>
  <c r="Q30" i="2"/>
  <c r="R30" i="2"/>
  <c r="T30" i="2"/>
  <c r="U30" i="2"/>
  <c r="L3" i="1"/>
  <c r="U9" i="1"/>
  <c r="U10" i="1"/>
  <c r="C11" i="1"/>
  <c r="C12" i="1"/>
  <c r="M12" i="1"/>
  <c r="R12" i="1"/>
  <c r="S12" i="1"/>
  <c r="C13" i="1"/>
  <c r="M13" i="1"/>
  <c r="R13" i="1"/>
  <c r="S13" i="1"/>
  <c r="C14" i="1"/>
  <c r="M14" i="1"/>
  <c r="R14" i="1"/>
  <c r="S14" i="1"/>
  <c r="U18" i="1"/>
  <c r="AE18" i="1"/>
  <c r="B19" i="1"/>
  <c r="C19" i="1" s="1"/>
  <c r="AE19" i="1"/>
  <c r="C20" i="1"/>
  <c r="M20" i="1"/>
  <c r="R20" i="1"/>
  <c r="S20" i="1"/>
  <c r="C23" i="1"/>
  <c r="M23" i="1"/>
  <c r="R23" i="1"/>
  <c r="S23" i="1"/>
  <c r="C24" i="1"/>
  <c r="M24" i="1"/>
  <c r="R24" i="1"/>
  <c r="S24" i="1"/>
  <c r="R25" i="1"/>
  <c r="S25" i="1"/>
  <c r="AM28" i="1"/>
  <c r="L9" i="8" s="1"/>
  <c r="M26" i="1"/>
  <c r="S26" i="1" s="1"/>
  <c r="T26" i="1" s="1"/>
  <c r="U26" i="1" s="1"/>
  <c r="F28" i="1"/>
  <c r="Y28" i="1"/>
  <c r="Z28" i="1"/>
  <c r="AC28" i="1"/>
  <c r="AN28" i="1"/>
  <c r="M30" i="1"/>
  <c r="S30" i="1" s="1"/>
  <c r="T30" i="1" s="1"/>
  <c r="R31" i="1"/>
  <c r="S31" i="1"/>
  <c r="C36" i="1"/>
  <c r="M36" i="1"/>
  <c r="R36" i="1"/>
  <c r="S36" i="1"/>
  <c r="AA36" i="1"/>
  <c r="AD36" i="1"/>
  <c r="AH37" i="1"/>
  <c r="AI37" i="1"/>
  <c r="D15" i="7"/>
  <c r="E15" i="7" s="1"/>
  <c r="L34" i="8" s="1"/>
  <c r="F76" i="5" l="1"/>
  <c r="I76" i="5" s="1"/>
  <c r="E27" i="6"/>
  <c r="E12" i="7"/>
  <c r="L27" i="8" s="1"/>
  <c r="AH28" i="1"/>
  <c r="AH29" i="1"/>
  <c r="L4" i="8" s="1"/>
  <c r="AH30" i="4"/>
  <c r="AH31" i="4"/>
  <c r="L20" i="8" s="1"/>
  <c r="F23" i="6"/>
  <c r="F27" i="6" s="1"/>
  <c r="E10" i="7" s="1"/>
  <c r="L29" i="8" s="1"/>
  <c r="C7" i="6"/>
  <c r="E33" i="6"/>
  <c r="P24" i="4"/>
  <c r="AI24" i="4" s="1"/>
  <c r="T25" i="1"/>
  <c r="C28" i="1"/>
  <c r="T20" i="1"/>
  <c r="O21" i="2"/>
  <c r="P21" i="2" s="1"/>
  <c r="T23" i="1"/>
  <c r="O27" i="2"/>
  <c r="AA27" i="2" s="1"/>
  <c r="O23" i="2"/>
  <c r="W23" i="2" s="1"/>
  <c r="O14" i="2"/>
  <c r="AA14" i="2" s="1"/>
  <c r="O7" i="2"/>
  <c r="AA7" i="2" s="1"/>
  <c r="P23" i="4"/>
  <c r="AE23" i="4" s="1"/>
  <c r="P26" i="4"/>
  <c r="AE26" i="4" s="1"/>
  <c r="P21" i="4"/>
  <c r="AE21" i="4" s="1"/>
  <c r="C30" i="2"/>
  <c r="O12" i="2"/>
  <c r="AA12" i="2" s="1"/>
  <c r="T14" i="1"/>
  <c r="U14" i="1" s="1"/>
  <c r="P14" i="4"/>
  <c r="AE14" i="4" s="1"/>
  <c r="O25" i="2"/>
  <c r="AA25" i="2" s="1"/>
  <c r="S30" i="2"/>
  <c r="V30" i="2"/>
  <c r="T36" i="1"/>
  <c r="AE36" i="1" s="1"/>
  <c r="T31" i="1"/>
  <c r="U31" i="1" s="1"/>
  <c r="T13" i="1"/>
  <c r="AI13" i="1" s="1"/>
  <c r="P27" i="4"/>
  <c r="AE27" i="4" s="1"/>
  <c r="P20" i="4"/>
  <c r="AE20" i="4" s="1"/>
  <c r="O19" i="2"/>
  <c r="AA19" i="2" s="1"/>
  <c r="O10" i="2"/>
  <c r="AA10" i="2" s="1"/>
  <c r="R28" i="1"/>
  <c r="P13" i="4"/>
  <c r="AE13" i="4" s="1"/>
  <c r="AA30" i="4"/>
  <c r="AF30" i="4" s="1"/>
  <c r="C30" i="4"/>
  <c r="P19" i="4"/>
  <c r="AE19" i="4" s="1"/>
  <c r="P25" i="4"/>
  <c r="AE25" i="4" s="1"/>
  <c r="P11" i="4"/>
  <c r="AI11" i="4" s="1"/>
  <c r="O24" i="2"/>
  <c r="W24" i="2" s="1"/>
  <c r="N30" i="2"/>
  <c r="Z31" i="2"/>
  <c r="L10" i="8" s="1"/>
  <c r="O20" i="2"/>
  <c r="AA20" i="2" s="1"/>
  <c r="U30" i="1"/>
  <c r="AH31" i="1"/>
  <c r="T24" i="1"/>
  <c r="U24" i="1" s="1"/>
  <c r="S28" i="1"/>
  <c r="T12" i="1"/>
  <c r="P12" i="4"/>
  <c r="AE12" i="4" s="1"/>
  <c r="O30" i="4"/>
  <c r="P28" i="4"/>
  <c r="AE28" i="4" s="1"/>
  <c r="N30" i="4"/>
  <c r="AD28" i="1"/>
  <c r="AE26" i="1"/>
  <c r="AA28" i="1"/>
  <c r="G6" i="5"/>
  <c r="G76" i="5" s="1"/>
  <c r="K76" i="5"/>
  <c r="AE24" i="4" l="1"/>
  <c r="AE30" i="4" s="1"/>
  <c r="AE11" i="4"/>
  <c r="AM31" i="4"/>
  <c r="U20" i="1"/>
  <c r="D7" i="7"/>
  <c r="AI25" i="4"/>
  <c r="C5" i="6"/>
  <c r="D10" i="7" s="1"/>
  <c r="AI12" i="4"/>
  <c r="AI13" i="4"/>
  <c r="AI20" i="4"/>
  <c r="AI21" i="4"/>
  <c r="L23" i="8"/>
  <c r="AM30" i="4"/>
  <c r="AE23" i="1"/>
  <c r="AI23" i="1"/>
  <c r="AI28" i="1" s="1"/>
  <c r="AA24" i="2"/>
  <c r="AA21" i="2"/>
  <c r="AC31" i="2"/>
  <c r="L12" i="8" s="1"/>
  <c r="F33" i="6"/>
  <c r="C6" i="6"/>
  <c r="Q26" i="4"/>
  <c r="AE25" i="1"/>
  <c r="Q21" i="4"/>
  <c r="Q27" i="4"/>
  <c r="Q23" i="4"/>
  <c r="U25" i="1"/>
  <c r="Q24" i="4"/>
  <c r="P12" i="2"/>
  <c r="AE13" i="1"/>
  <c r="P25" i="2"/>
  <c r="U23" i="1"/>
  <c r="Q19" i="4"/>
  <c r="P14" i="2"/>
  <c r="W14" i="2"/>
  <c r="W27" i="2"/>
  <c r="P27" i="2"/>
  <c r="W21" i="2"/>
  <c r="Q20" i="4"/>
  <c r="U12" i="1"/>
  <c r="P20" i="2"/>
  <c r="P10" i="2"/>
  <c r="W19" i="2"/>
  <c r="W12" i="2"/>
  <c r="P19" i="2"/>
  <c r="P23" i="2"/>
  <c r="W25" i="2"/>
  <c r="U36" i="1"/>
  <c r="W20" i="2"/>
  <c r="Q11" i="4"/>
  <c r="AE31" i="2"/>
  <c r="AE14" i="1"/>
  <c r="Q14" i="4"/>
  <c r="U13" i="1"/>
  <c r="T28" i="1"/>
  <c r="B3" i="7" s="1"/>
  <c r="U32" i="1"/>
  <c r="P18" i="4"/>
  <c r="AE18" i="4" s="1"/>
  <c r="Q25" i="4"/>
  <c r="P9" i="4"/>
  <c r="L5" i="8"/>
  <c r="AH33" i="1"/>
  <c r="T32" i="1"/>
  <c r="AE12" i="1"/>
  <c r="Q13" i="4"/>
  <c r="W10" i="2"/>
  <c r="P24" i="2"/>
  <c r="M30" i="2"/>
  <c r="AL29" i="1"/>
  <c r="AE24" i="1"/>
  <c r="P30" i="4"/>
  <c r="B6" i="7" s="1"/>
  <c r="Q28" i="4"/>
  <c r="Q12" i="4"/>
  <c r="P7" i="2"/>
  <c r="O30" i="2"/>
  <c r="B4" i="7" s="1"/>
  <c r="W7" i="2"/>
  <c r="B7" i="7"/>
  <c r="H7" i="7" s="1"/>
  <c r="AI30" i="4" l="1"/>
  <c r="AI31" i="4"/>
  <c r="L21" i="8" s="1"/>
  <c r="L8" i="8"/>
  <c r="AL28" i="1"/>
  <c r="L13" i="8"/>
  <c r="AE30" i="2"/>
  <c r="AA30" i="2"/>
  <c r="D11" i="7"/>
  <c r="E11" i="7" s="1"/>
  <c r="L30" i="8" s="1"/>
  <c r="C14" i="6"/>
  <c r="AI29" i="1"/>
  <c r="L6" i="8" s="1"/>
  <c r="AA31" i="2"/>
  <c r="L11" i="8" s="1"/>
  <c r="U28" i="1"/>
  <c r="P30" i="2"/>
  <c r="X30" i="2" s="1"/>
  <c r="D4" i="7" s="1"/>
  <c r="E4" i="7" s="1"/>
  <c r="W30" i="2"/>
  <c r="C4" i="7" s="1"/>
  <c r="H4" i="7" s="1"/>
  <c r="Q30" i="4"/>
  <c r="C6" i="7"/>
  <c r="H6" i="7" s="1"/>
  <c r="H5" i="7"/>
  <c r="AE28" i="1"/>
  <c r="C3" i="7" s="1"/>
  <c r="H3" i="7" s="1"/>
  <c r="L25" i="8"/>
  <c r="J76" i="5"/>
  <c r="E7" i="7" s="1"/>
  <c r="AF28" i="1" l="1"/>
  <c r="D3" i="7" s="1"/>
  <c r="E3" i="7" s="1"/>
  <c r="D6" i="7"/>
  <c r="L37" i="8"/>
  <c r="D19" i="7" l="1"/>
  <c r="E6" i="7"/>
  <c r="E19" i="7" s="1"/>
</calcChain>
</file>

<file path=xl/comments1.xml><?xml version="1.0" encoding="utf-8"?>
<comments xmlns="http://schemas.openxmlformats.org/spreadsheetml/2006/main">
  <authors>
    <author>Maria Haldeaki</author>
    <author>Trond Skjeie</author>
  </authors>
  <commentList>
    <comment ref="E13" authorId="0" guid="{D283DF6A-316E-4F6D-88DC-5ACE0ADD173F}" shapeId="0">
      <text>
        <r>
          <rPr>
            <b/>
            <sz val="9"/>
            <color indexed="81"/>
            <rFont val="Tahoma"/>
            <family val="2"/>
          </rPr>
          <t>Maria Haldeaki:</t>
        </r>
        <r>
          <rPr>
            <i/>
            <sz val="9"/>
            <color indexed="81"/>
            <rFont val="Tahoma"/>
            <family val="2"/>
          </rPr>
          <t xml:space="preserve">
skrivekurset på 6 timer pluss oppgaveretting på 2 timer inngår i kjøp og avtrett
</t>
        </r>
      </text>
    </comment>
    <comment ref="E21" authorId="1" guid="{AEDD3F1D-1FED-4E1F-A651-218C558A1FBA}" shapeId="0">
      <text>
        <r>
          <rPr>
            <i/>
            <sz val="9"/>
            <color indexed="81"/>
            <rFont val="Tahoma"/>
            <family val="2"/>
          </rPr>
          <t>Trond Skjeie:</t>
        </r>
        <r>
          <rPr>
            <b/>
            <i/>
            <sz val="9"/>
            <color indexed="81"/>
            <rFont val="Tahoma"/>
            <family val="2"/>
          </rPr>
          <t xml:space="preserve">
6 timer med 
to lærere </t>
        </r>
      </text>
    </comment>
  </commentList>
</comments>
</file>

<file path=xl/comments2.xml><?xml version="1.0" encoding="utf-8"?>
<comments xmlns="http://schemas.openxmlformats.org/spreadsheetml/2006/main">
  <authors>
    <author>Lillian M. Stang Almaas</author>
  </authors>
  <commentList>
    <comment ref="D10" authorId="0" guid="{37DB3D82-76F2-4249-8758-BA47A05F3D0F}" shape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i/>
            <sz val="9"/>
            <color indexed="81"/>
            <rFont val="Tahoma"/>
            <family val="2"/>
          </rPr>
          <t xml:space="preserve">
tre fag behov for 3 timer
</t>
        </r>
      </text>
    </comment>
  </commentList>
</comments>
</file>

<file path=xl/comments3.xml><?xml version="1.0" encoding="utf-8"?>
<comments xmlns="http://schemas.openxmlformats.org/spreadsheetml/2006/main">
  <authors>
    <author>Trond Skjeie</author>
  </authors>
  <commentList>
    <comment ref="E47" authorId="0" guid="{4FAD884D-5E67-458E-B1F9-46CBE71C0489}" shapeId="0">
      <text>
        <r>
          <rPr>
            <b/>
            <sz val="9"/>
            <color indexed="81"/>
            <rFont val="Tahoma"/>
            <charset val="1"/>
          </rPr>
          <t>Trond Skjeie:</t>
        </r>
        <r>
          <rPr>
            <sz val="9"/>
            <color indexed="81"/>
            <rFont val="Tahoma"/>
            <charset val="1"/>
          </rPr>
          <t xml:space="preserve">
annet hvert år partall- neste gang  høst 2022</t>
        </r>
      </text>
    </comment>
    <comment ref="E66" authorId="0" guid="{84A4CD99-C74B-4B2A-80AA-8A64C6C627EA}" shapeId="0">
      <text>
        <r>
          <rPr>
            <b/>
            <sz val="9"/>
            <color indexed="81"/>
            <rFont val="Tahoma"/>
            <family val="2"/>
          </rPr>
          <t>Trond Skjeie:</t>
        </r>
        <r>
          <rPr>
            <sz val="9"/>
            <color indexed="81"/>
            <rFont val="Tahoma"/>
            <family val="2"/>
          </rPr>
          <t xml:space="preserve">
Annet hvert år, neste gang høst 2021</t>
        </r>
      </text>
    </comment>
  </commentList>
</comments>
</file>

<file path=xl/sharedStrings.xml><?xml version="1.0" encoding="utf-8"?>
<sst xmlns="http://schemas.openxmlformats.org/spreadsheetml/2006/main" count="541" uniqueCount="379">
  <si>
    <t>Ex.phil 10 sp</t>
  </si>
  <si>
    <t>Fag</t>
  </si>
  <si>
    <t>Forelesnings-timer</t>
  </si>
  <si>
    <t>Antall deltakere per  kurs</t>
  </si>
  <si>
    <t>Antall deltakere per  PBL</t>
  </si>
  <si>
    <t>Forventet antall studenter pr semester</t>
  </si>
  <si>
    <t>Timer disponibelt totalt</t>
  </si>
  <si>
    <t>Kostnad kr</t>
  </si>
  <si>
    <t>Totalt undervisning</t>
  </si>
  <si>
    <t>Timesats undervisning</t>
  </si>
  <si>
    <t>Timesats oppgaver</t>
  </si>
  <si>
    <t>Basis-grupper timer</t>
  </si>
  <si>
    <t>Kollokviegrupper</t>
  </si>
  <si>
    <t xml:space="preserve">Statsforfatningsrett </t>
  </si>
  <si>
    <t>EØS-rett</t>
  </si>
  <si>
    <t>Folkerett</t>
  </si>
  <si>
    <t>Introduksjon</t>
  </si>
  <si>
    <t>Ex.fac.</t>
  </si>
  <si>
    <t xml:space="preserve">Kjøps- og avtalerett </t>
  </si>
  <si>
    <t>Rettskilder til fots</t>
  </si>
  <si>
    <t>Familie- og arverett</t>
  </si>
  <si>
    <t xml:space="preserve">Fast eiendoms rettsforhold </t>
  </si>
  <si>
    <t xml:space="preserve">Erstatningsrett </t>
  </si>
  <si>
    <t>Basisgrupper</t>
  </si>
  <si>
    <t xml:space="preserve">Alminnelig forvaltningsrett </t>
  </si>
  <si>
    <t>Velferdsrett</t>
  </si>
  <si>
    <t xml:space="preserve">Miljørett </t>
  </si>
  <si>
    <t>Eksamensrettet kurs</t>
  </si>
  <si>
    <t>Dynamisk tingsrett</t>
  </si>
  <si>
    <t xml:space="preserve">Selskapsrett </t>
  </si>
  <si>
    <t xml:space="preserve">Rettshistorie  </t>
  </si>
  <si>
    <t>Rettsøkonomi</t>
  </si>
  <si>
    <t xml:space="preserve">Sivilprosess </t>
  </si>
  <si>
    <t xml:space="preserve">Strafferett </t>
  </si>
  <si>
    <t xml:space="preserve">Straffeprosess </t>
  </si>
  <si>
    <t>Metode</t>
  </si>
  <si>
    <t>Forelesning kollokvieledere</t>
  </si>
  <si>
    <t>Oppgaveløsningsseminar fak.oppg</t>
  </si>
  <si>
    <t>JUS1111</t>
  </si>
  <si>
    <t>JUS1211</t>
  </si>
  <si>
    <t>JUS2111</t>
  </si>
  <si>
    <t>JUS2211</t>
  </si>
  <si>
    <t>JUS3111</t>
  </si>
  <si>
    <t>JUS4111</t>
  </si>
  <si>
    <t>JUS4211</t>
  </si>
  <si>
    <t>Perspektivfag 4121/4122 (10 sp hver)</t>
  </si>
  <si>
    <t>Timesats kollokvie*</t>
  </si>
  <si>
    <t xml:space="preserve">Privatrett 1 </t>
  </si>
  <si>
    <t xml:space="preserve">Totalt </t>
  </si>
  <si>
    <t>Undervisning valgemner</t>
  </si>
  <si>
    <t>Internasjonale master</t>
  </si>
  <si>
    <t>Emneleveranser</t>
  </si>
  <si>
    <t>Veiledning</t>
  </si>
  <si>
    <t>Internasjonalisering</t>
  </si>
  <si>
    <t xml:space="preserve">Oppsummering </t>
  </si>
  <si>
    <t>2. studieår</t>
  </si>
  <si>
    <t>3. studieår</t>
  </si>
  <si>
    <t>4. studieår</t>
  </si>
  <si>
    <t>Manuduksjoner</t>
  </si>
  <si>
    <t>Antall timer undervisning</t>
  </si>
  <si>
    <t>Antall timer oppgaver</t>
  </si>
  <si>
    <t>Totalt</t>
  </si>
  <si>
    <t>Ekstern kostnad</t>
  </si>
  <si>
    <t>Timer</t>
  </si>
  <si>
    <t>Pensjon</t>
  </si>
  <si>
    <t>År</t>
  </si>
  <si>
    <t>Sted</t>
  </si>
  <si>
    <t>Prosjekt</t>
  </si>
  <si>
    <t>Tiltak</t>
  </si>
  <si>
    <t>Navn/gruppe</t>
  </si>
  <si>
    <t>C-Lt</t>
  </si>
  <si>
    <t>Kategori</t>
  </si>
  <si>
    <t>Period.</t>
  </si>
  <si>
    <t>Kommentar/Logg</t>
  </si>
  <si>
    <t>Bud</t>
  </si>
  <si>
    <t>620211</t>
  </si>
  <si>
    <t>620212</t>
  </si>
  <si>
    <t>620213</t>
  </si>
  <si>
    <t>620214</t>
  </si>
  <si>
    <t>620215</t>
  </si>
  <si>
    <t>kollokvier</t>
  </si>
  <si>
    <t>620221</t>
  </si>
  <si>
    <t>620222</t>
  </si>
  <si>
    <t>620223</t>
  </si>
  <si>
    <t>620224</t>
  </si>
  <si>
    <t>620225</t>
  </si>
  <si>
    <t>620231</t>
  </si>
  <si>
    <t>620232</t>
  </si>
  <si>
    <t>620233</t>
  </si>
  <si>
    <t>620234</t>
  </si>
  <si>
    <t>620235</t>
  </si>
  <si>
    <t>Andel eksterne</t>
  </si>
  <si>
    <t>620241</t>
  </si>
  <si>
    <t>620242</t>
  </si>
  <si>
    <t>620243</t>
  </si>
  <si>
    <t>620244</t>
  </si>
  <si>
    <t>Budsjettark 1. studieår</t>
  </si>
  <si>
    <t xml:space="preserve"> =Tall som legges inn av/avklares med seksjonsleder studie</t>
  </si>
  <si>
    <t xml:space="preserve"> </t>
  </si>
  <si>
    <t xml:space="preserve">Prosess og strafferett </t>
  </si>
  <si>
    <t>Metode og etikk</t>
  </si>
  <si>
    <t>Timer pr studiepoeng</t>
  </si>
  <si>
    <t>Timer disponibelt pr år</t>
  </si>
  <si>
    <t>Budsjett</t>
  </si>
  <si>
    <t>Formuerett I</t>
  </si>
  <si>
    <t xml:space="preserve">Statsforfatningsrett og internasjonal rett </t>
  </si>
  <si>
    <t xml:space="preserve">Forvaltningsrett </t>
  </si>
  <si>
    <t xml:space="preserve">Privatrett II  </t>
  </si>
  <si>
    <t>Antall timer planlagt pr år</t>
  </si>
  <si>
    <t xml:space="preserve">Antall timer planlagt pr år </t>
  </si>
  <si>
    <t>kurs</t>
  </si>
  <si>
    <t>pbl</t>
  </si>
  <si>
    <t>basis</t>
  </si>
  <si>
    <t>oppgaver</t>
  </si>
  <si>
    <t>Tiltakskoder</t>
  </si>
  <si>
    <t>Eksternt timer antall</t>
  </si>
  <si>
    <t>forelesning</t>
  </si>
  <si>
    <t>Antall grupper kurs vår</t>
  </si>
  <si>
    <t>Antall grupper PBL vår</t>
  </si>
  <si>
    <t>Antall grupper PBL høst</t>
  </si>
  <si>
    <t>Antall timer vår</t>
  </si>
  <si>
    <t>Antall timer høst</t>
  </si>
  <si>
    <t>Fakultetsoppgaver kostnad</t>
  </si>
  <si>
    <t>Kursoppgaver kostnad</t>
  </si>
  <si>
    <t>Total undervisningskostnad kr</t>
  </si>
  <si>
    <t>Antall eksterne kurs</t>
  </si>
  <si>
    <t>Antall eksterne basis</t>
  </si>
  <si>
    <t>Antall eksterne lærere og timer</t>
  </si>
  <si>
    <t>Fakultets-oppgaver kostnad</t>
  </si>
  <si>
    <t>Kurs-oppgaver kostnad</t>
  </si>
  <si>
    <t>Antall basis-grupper vår</t>
  </si>
  <si>
    <t>Antall basis-grupper høst</t>
  </si>
  <si>
    <t>Total undervisnings-Kostnad</t>
  </si>
  <si>
    <t>Eksterne timer antall</t>
  </si>
  <si>
    <t>Antall eksterne PBL</t>
  </si>
  <si>
    <t>Grunnleggende skatterett</t>
  </si>
  <si>
    <t>Petroleumskontrakter</t>
  </si>
  <si>
    <t xml:space="preserve">Arbeidsrett, kol.del </t>
  </si>
  <si>
    <t>Barnerett</t>
  </si>
  <si>
    <t>Bygge- og entrepriserett</t>
  </si>
  <si>
    <t>Design-, varemerke- og patentrett</t>
  </si>
  <si>
    <t>Forsikringsrett</t>
  </si>
  <si>
    <t>Kommunalrett</t>
  </si>
  <si>
    <t>Selskapsrett</t>
  </si>
  <si>
    <t>Sjørett: Kontrakter JUS5403</t>
  </si>
  <si>
    <t>Sjørett: Ansvar &amp; forsikring</t>
  </si>
  <si>
    <t>Trygderett</t>
  </si>
  <si>
    <t>Utlendingsrett</t>
  </si>
  <si>
    <t>Markedsrett</t>
  </si>
  <si>
    <t>Internasjonal gjeldsforfølgningsrett</t>
  </si>
  <si>
    <t>Diskriminerings- og likestillingsrett</t>
  </si>
  <si>
    <t>Ekspropriasjonsrett</t>
  </si>
  <si>
    <t>Helserett</t>
  </si>
  <si>
    <t>Int. privatrett</t>
  </si>
  <si>
    <t>Opphavsrett</t>
  </si>
  <si>
    <t>Petroleumsrett JUS5410</t>
  </si>
  <si>
    <t>Rettshistorie</t>
  </si>
  <si>
    <t>Samerett</t>
  </si>
  <si>
    <t xml:space="preserve">Skatterett </t>
  </si>
  <si>
    <t>Arbeidsrett, ind.del</t>
  </si>
  <si>
    <t>Emner som tilbys på engelsk</t>
  </si>
  <si>
    <t>English Law of Contract</t>
  </si>
  <si>
    <t>International Climate change and Energy Law</t>
  </si>
  <si>
    <t>International commercial Law</t>
  </si>
  <si>
    <t>International Criminal Law</t>
  </si>
  <si>
    <t>International Investment Law</t>
  </si>
  <si>
    <t>Marine Insurance</t>
  </si>
  <si>
    <t>Petroleum Law JUS5411</t>
  </si>
  <si>
    <t>Privacy, DataProtection and Lex Informatica</t>
  </si>
  <si>
    <t>Refugee and Asylum Law</t>
  </si>
  <si>
    <t>Women's Law and Human Rights</t>
  </si>
  <si>
    <t xml:space="preserve">International Comparative Labour Law </t>
  </si>
  <si>
    <t>International Constitutional Law and Democracy</t>
  </si>
  <si>
    <t>International Environmental Law</t>
  </si>
  <si>
    <t>Internet Governance</t>
  </si>
  <si>
    <t>International Human Rights Law: Institutions and procedures</t>
  </si>
  <si>
    <t>International Humaniatarian Law</t>
  </si>
  <si>
    <t>International Trade Law</t>
  </si>
  <si>
    <t>Maritime Law- Contracts</t>
  </si>
  <si>
    <t>Maritime Law- Liability and Insurance</t>
  </si>
  <si>
    <t>Public International Law</t>
  </si>
  <si>
    <t>Eksterne timer</t>
  </si>
  <si>
    <t>Totalt antall timer undervisning og oppgaver</t>
  </si>
  <si>
    <t>Budsjett diverse undervisning:</t>
  </si>
  <si>
    <t>Sats kroner</t>
  </si>
  <si>
    <t>timer vår</t>
  </si>
  <si>
    <t>timer høst</t>
  </si>
  <si>
    <t>Språkfag (engelsk, tysk og fransk for jurister)</t>
  </si>
  <si>
    <t xml:space="preserve">Engelsk: </t>
  </si>
  <si>
    <t>Tysk:</t>
  </si>
  <si>
    <t xml:space="preserve">Fransk: </t>
  </si>
  <si>
    <t xml:space="preserve">Emneleveranser: </t>
  </si>
  <si>
    <t>Fakultetsoppgaver som tilbys høst</t>
  </si>
  <si>
    <t>Fakultetsoppgaver som tilbys  vår</t>
  </si>
  <si>
    <t>Kursoppgaver som tilbys vår</t>
  </si>
  <si>
    <t>Kursoppgaver som tilbys høst</t>
  </si>
  <si>
    <t>Timer disponibelt pr emne</t>
  </si>
  <si>
    <t>sum kroner</t>
  </si>
  <si>
    <t>andel eksterne</t>
  </si>
  <si>
    <t>DRI + Forvaltn.inf.master</t>
  </si>
  <si>
    <t>SUM</t>
  </si>
  <si>
    <t>Sosialrett</t>
  </si>
  <si>
    <t>Naturressursrett</t>
  </si>
  <si>
    <t>EU- Substantive Law</t>
  </si>
  <si>
    <t>Counter-terroisme and Human rights( veksler med humr5134)</t>
  </si>
  <si>
    <t xml:space="preserve">Menneskerettigheter Bibliotekskurs </t>
  </si>
  <si>
    <t>Innføring i rettsstudiet Bibliotekskurs</t>
  </si>
  <si>
    <t>Budsjetteres av fakultetsbiblioteket:</t>
  </si>
  <si>
    <t>Forelesningstimer</t>
  </si>
  <si>
    <t>1. studieår*</t>
  </si>
  <si>
    <t>*inkl 1728 timer studentledete kollokvier</t>
  </si>
  <si>
    <t>Språkfag, jf tabell nedenfor</t>
  </si>
  <si>
    <t>Emneleveranser, jf tabell nedenfor</t>
  </si>
  <si>
    <t>JUROFF1410 (Folkerett) Vår 2 K à 10 t</t>
  </si>
  <si>
    <t>Sum språkfag</t>
  </si>
  <si>
    <t>Sum emneleveranser</t>
  </si>
  <si>
    <t>Internasjonale mastergrader</t>
  </si>
  <si>
    <t>Studie-poeng</t>
  </si>
  <si>
    <t>kurs-timer</t>
  </si>
  <si>
    <t>Antall deltakere per  basisgr.</t>
  </si>
  <si>
    <t>Antall basis-grupper</t>
  </si>
  <si>
    <t>Totalt antall timer undervisn. og oppg.</t>
  </si>
  <si>
    <t>Total kostn. undervisn. og oppg.</t>
  </si>
  <si>
    <t>PBL-timer</t>
  </si>
  <si>
    <t>Total kostn. Undervisn. og oppg.</t>
  </si>
  <si>
    <t>Totalt antall timer under-visning og oppgaver</t>
  </si>
  <si>
    <t>Forelesn.-timer</t>
  </si>
  <si>
    <t>Antall delt. per  basisgruppe</t>
  </si>
  <si>
    <t>Total kostn. undervisn. og oppgaver</t>
  </si>
  <si>
    <t>Antall Forelesn-timer</t>
  </si>
  <si>
    <t>Antall kurs-timer</t>
  </si>
  <si>
    <t>Total undervisn-kostnad</t>
  </si>
  <si>
    <t>Fakultets-oppgaver som tilbys vår</t>
  </si>
  <si>
    <t>Fakultets-oppgaver som tilbys høst</t>
  </si>
  <si>
    <t>Kurs-oppgaver som tilbys vår</t>
  </si>
  <si>
    <t>Kurs-oppgaver som tilbys høst</t>
  </si>
  <si>
    <t>Forelesn. timer</t>
  </si>
  <si>
    <t>620251</t>
  </si>
  <si>
    <t>internasjonale mastergrader</t>
  </si>
  <si>
    <t>språkfag</t>
  </si>
  <si>
    <t>emneleveranser</t>
  </si>
  <si>
    <t>veiledning</t>
  </si>
  <si>
    <t>internasjonalisering</t>
  </si>
  <si>
    <t>Språkfag</t>
  </si>
  <si>
    <t xml:space="preserve"> BA og MA demokrati og rettigheter</t>
  </si>
  <si>
    <t>Studiepoeng</t>
  </si>
  <si>
    <t>Rettslig bevisteori</t>
  </si>
  <si>
    <t>Lovgivningslære</t>
  </si>
  <si>
    <t>Humr5140</t>
  </si>
  <si>
    <t>Humr5131</t>
  </si>
  <si>
    <t>Humr5191</t>
  </si>
  <si>
    <t>Humr4504(praksis)</t>
  </si>
  <si>
    <t>Valgemner</t>
  </si>
  <si>
    <t>Humr5702</t>
  </si>
  <si>
    <t>Humr5508</t>
  </si>
  <si>
    <t>Humr5502</t>
  </si>
  <si>
    <t>Humr5133</t>
  </si>
  <si>
    <t>2 kurs som er kostandsberegnet under valgemner:</t>
  </si>
  <si>
    <t>Humr5134</t>
  </si>
  <si>
    <t>Jus5503</t>
  </si>
  <si>
    <t xml:space="preserve">Programmet benytter for det meste interne lærekrefter i sine emner. Fakultets og senterers lærekrefter </t>
  </si>
  <si>
    <t>( eks. Kjetil Larsen, Stener Ekern, Gentian Zyberi..)</t>
  </si>
  <si>
    <t>Programmet har 5 obligatoriske moduler:</t>
  </si>
  <si>
    <t>Kommentarer til Undervisning i Human Rights programmet::</t>
  </si>
  <si>
    <t>Veiledning i jusstudiet (30 og 60 sp)</t>
  </si>
  <si>
    <t>Human Rights and Diversity - Leading Cases and Core Dilemmas</t>
  </si>
  <si>
    <t>The Right to Peace( veksler med JUS5503)</t>
  </si>
  <si>
    <t xml:space="preserve">Legal Writing and Oral Advocacy in International Law </t>
  </si>
  <si>
    <t>Introduction to the History, Philosophy and Politics of Human Rights HUMR5131</t>
  </si>
  <si>
    <t>Human Rights Law in Context h5132</t>
  </si>
  <si>
    <t>Business and Human Rights H5133</t>
  </si>
  <si>
    <t>Introd. to Human Rights LawH5140</t>
  </si>
  <si>
    <t>Ethnic Challenges to the Nation State: Studying State Responses from a H. Rights PerspectiveH5502</t>
  </si>
  <si>
    <t>Human Rights in Practice H4504</t>
  </si>
  <si>
    <t>Human Rights Methodology: Research, Analysis and ThesisH5191</t>
  </si>
  <si>
    <t>Human Rights and Development: Interdisciplinary Perspectives on Theory and PracticesH5702</t>
  </si>
  <si>
    <t>Innleverte kurs oppgaver vår 2015</t>
  </si>
  <si>
    <t>Totalt antall innleveringer vår 2015</t>
  </si>
  <si>
    <t>ca 192</t>
  </si>
  <si>
    <t>Innleverte kurs oppgaver høst 2014</t>
  </si>
  <si>
    <t>Totalt antall innleveringer høst 2014</t>
  </si>
  <si>
    <t>Innleverte fakultets oppgaver høst 2014</t>
  </si>
  <si>
    <t>Innleverte fakultets oppgaver vår 2015</t>
  </si>
  <si>
    <t>Rettsfilosofi</t>
  </si>
  <si>
    <t>Introduksjon (4111)</t>
  </si>
  <si>
    <t>Introduksjon (4211)</t>
  </si>
  <si>
    <t>Oppgaveløsningsseminar fak.oppg**</t>
  </si>
  <si>
    <t>** Tatt utgangspunkt i at Rettsfilosofi har Fakultetesoppgave</t>
  </si>
  <si>
    <t>obligatorisk oppsamling</t>
  </si>
  <si>
    <t>EU Competition Law</t>
  </si>
  <si>
    <t>klokketimer</t>
  </si>
  <si>
    <t>Antall eksterne PBL per år</t>
  </si>
  <si>
    <t>word-kurs</t>
  </si>
  <si>
    <t>har medlærere i und.</t>
  </si>
  <si>
    <t>Antall grupper vår</t>
  </si>
  <si>
    <t>Herav antall eksterne grupper vår</t>
  </si>
  <si>
    <t>Antall grupper  høst</t>
  </si>
  <si>
    <t>Herav antall eksterne grupper høst</t>
  </si>
  <si>
    <t>Antall grupper høst</t>
  </si>
  <si>
    <t>Herav antall eksterne kurs høst</t>
  </si>
  <si>
    <t>Herav antall eksterne kurs vår</t>
  </si>
  <si>
    <t>Manuduksjoner (spørretime) Metode</t>
  </si>
  <si>
    <t>Etikk**</t>
  </si>
  <si>
    <t xml:space="preserve">Eksterne timer antall </t>
  </si>
  <si>
    <t>Eksterne forelesninger antall pr år, 2 semestere</t>
  </si>
  <si>
    <t>Eksterne forelesninger, antall pr år, 2 semestere</t>
  </si>
  <si>
    <t>Manduksjoner</t>
  </si>
  <si>
    <t>Antall grupper  kurs høst</t>
  </si>
  <si>
    <t>Antall eksterne kurs pr år</t>
  </si>
  <si>
    <t>Antall eksterne basisgrupper pr år</t>
  </si>
  <si>
    <t>Skrivekurs masteroppgave - kurs</t>
  </si>
  <si>
    <t>Skrivekurs masteroppgave - forelesninger</t>
  </si>
  <si>
    <t xml:space="preserve">Konkurs- og panterett </t>
  </si>
  <si>
    <t xml:space="preserve">Konflikthåndtering </t>
  </si>
  <si>
    <t xml:space="preserve">Offentlige anskaffelser </t>
  </si>
  <si>
    <t xml:space="preserve">Internasjonal skatterett  </t>
  </si>
  <si>
    <t>Formuerett II 12 sp</t>
  </si>
  <si>
    <t>Eksterne timer antall PBL</t>
  </si>
  <si>
    <t>Totalt klokketimer</t>
  </si>
  <si>
    <t>Totalt undervisnings-timer</t>
  </si>
  <si>
    <t>JUS3212</t>
  </si>
  <si>
    <t>JUS3220</t>
  </si>
  <si>
    <t>Rettshistorie 8 sp</t>
  </si>
  <si>
    <t>Skrivekurs semesteroppgave</t>
  </si>
  <si>
    <t xml:space="preserve">Internasjonale menneskerettigheter </t>
  </si>
  <si>
    <t>Gjennomgang av fak.oppg</t>
  </si>
  <si>
    <t xml:space="preserve">Cybersecurity Regulation </t>
  </si>
  <si>
    <t>Prosedyreøvelse</t>
  </si>
  <si>
    <t>Eksamensrettet skrivekurs</t>
  </si>
  <si>
    <t>Forhandlinger</t>
  </si>
  <si>
    <t>TULSA og andre tiltak</t>
  </si>
  <si>
    <t>JUROFF1201 (Forvaltningsrett for ikke-jurister) 25 t F, 4 K à 10 t</t>
  </si>
  <si>
    <t xml:space="preserve">JUROFF1500 (strafferett) Vår og Høst 10 t F, 1 K à 8 t </t>
  </si>
  <si>
    <t>Veiledning skrivekurs</t>
  </si>
  <si>
    <t>Juridisk metodelære</t>
  </si>
  <si>
    <t>Kurs i digitale hjelpemidler (Lovdata)</t>
  </si>
  <si>
    <t>Antall eksterne forelesningstimer - 12% andel</t>
  </si>
  <si>
    <t>Reisemidler språkfag</t>
  </si>
  <si>
    <t xml:space="preserve">Prosedyrekonkurranser </t>
  </si>
  <si>
    <t>Robot Regulation</t>
  </si>
  <si>
    <t>Legal Technology: Artificial Intelligence and Law</t>
  </si>
  <si>
    <t>Total undervisnings-kostnad</t>
  </si>
  <si>
    <t>kurstimer</t>
  </si>
  <si>
    <t>Andre undervisningstiltak i jusstudiet og undervisning i andre studieprogrammer</t>
  </si>
  <si>
    <t>Porteføljereduksjon</t>
  </si>
  <si>
    <t>Digitalisering</t>
  </si>
  <si>
    <t>Prosedyrekonkurranser</t>
  </si>
  <si>
    <t>Word-kurs</t>
  </si>
  <si>
    <t>Digitalisering (engangs investeringskost for 2019)</t>
  </si>
  <si>
    <t>prosedyrekonkurranser</t>
  </si>
  <si>
    <t>Tulsa</t>
  </si>
  <si>
    <t>digitalisering, engangsaktiv. For 2019</t>
  </si>
  <si>
    <t>Sum timer 2020</t>
  </si>
  <si>
    <t>Går bare hver høst</t>
  </si>
  <si>
    <t>Skrivestue</t>
  </si>
  <si>
    <t>Timesats student</t>
  </si>
  <si>
    <t>intro i rettsøkonomi/rettssosiologi/rettsfilosofi</t>
  </si>
  <si>
    <t>Supreme Courts, politics and rule of law in Europe: past, present and future</t>
  </si>
  <si>
    <t>Financial market law and regulation</t>
  </si>
  <si>
    <t xml:space="preserve">HUMR5150 The Philosophy of Human Rights </t>
  </si>
  <si>
    <t>Antall eksterne forelesnings-timer</t>
  </si>
  <si>
    <t>Sum timer 2021</t>
  </si>
  <si>
    <t>Obligatoriske oppgaver vår</t>
  </si>
  <si>
    <t>Obligatoriske oppgaver høst</t>
  </si>
  <si>
    <t>Obligatoriske oppgaver kostnad</t>
  </si>
  <si>
    <t>Obligatoriske oppgaver kostnad eksterne</t>
  </si>
  <si>
    <t xml:space="preserve">Rettssosiologi </t>
  </si>
  <si>
    <t>Privatistordning utfaset?</t>
  </si>
  <si>
    <t>Obligatorisk kurs fase 2</t>
  </si>
  <si>
    <t>Oppsamlingskurs Obligatorisk kurs fase 2</t>
  </si>
  <si>
    <t>Obligatoriske fakultetsoppgaver vår</t>
  </si>
  <si>
    <t>Obligatoriske fakultetsoppgaver høst</t>
  </si>
  <si>
    <t>Obligatoriske gruppeoppgaver gjentak-studenter vår</t>
  </si>
  <si>
    <t>Obligatoriske gruppeoppgaver gjentak-studenter høst</t>
  </si>
  <si>
    <t>Forventet antall gjentaks-studenter</t>
  </si>
  <si>
    <t>Obligatoriske gruppeoppgaver kostnad</t>
  </si>
  <si>
    <t>Obligatorisk kursoppgave vår</t>
  </si>
  <si>
    <t>Obligatorisk kursoppgave høst</t>
  </si>
  <si>
    <t>Obligatorisk kursoppgave 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</si>
</sst>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* #,##0.0_ ;_ * \-#,##0.0_ ;_ * &quot;-&quot;??_ ;_ @_ "/>
    <numFmt numFmtId="166" formatCode="_(* #,##0_);_(* \(#,##0\);_(* &quot;-&quot;??_);_(@_)"/>
    <numFmt numFmtId="167" formatCode="_ * #,##0_ ;_ * \-#,##0_ ;_ * &quot;-&quot;??_ ;_ @_ "/>
    <numFmt numFmtId="168" formatCode="000000"/>
    <numFmt numFmtId="169" formatCode="#,##0.0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2"/>
      <color indexed="44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2B2B2B"/>
      <name val="Arial"/>
      <family val="2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.9"/>
      <color rgb="FF2B2B2B"/>
      <name val="Arial"/>
      <family val="2"/>
    </font>
    <font>
      <b/>
      <sz val="18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4"/>
      <name val="Calibri"/>
      <family val="2"/>
    </font>
    <font>
      <i/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6" fillId="6" borderId="28" applyNumberFormat="0" applyFont="0" applyAlignment="0" applyProtection="0"/>
  </cellStyleXfs>
  <cellXfs count="375">
    <xf numFmtId="0" fontId="0" fillId="0" borderId="0" xfId="0"/>
    <xf numFmtId="0" fontId="0" fillId="0" borderId="1" xfId="0" applyBorder="1"/>
    <xf numFmtId="0" fontId="30" fillId="0" borderId="1" xfId="0" applyFont="1" applyBorder="1"/>
    <xf numFmtId="3" fontId="0" fillId="0" borderId="1" xfId="0" applyNumberFormat="1" applyBorder="1"/>
    <xf numFmtId="3" fontId="30" fillId="0" borderId="1" xfId="0" applyNumberFormat="1" applyFont="1" applyBorder="1"/>
    <xf numFmtId="3" fontId="0" fillId="0" borderId="0" xfId="0" applyNumberFormat="1"/>
    <xf numFmtId="0" fontId="30" fillId="0" borderId="1" xfId="0" applyFont="1" applyFill="1" applyBorder="1"/>
    <xf numFmtId="0" fontId="30" fillId="0" borderId="0" xfId="0" applyFont="1"/>
    <xf numFmtId="3" fontId="0" fillId="7" borderId="1" xfId="0" applyNumberFormat="1" applyFill="1" applyBorder="1"/>
    <xf numFmtId="3" fontId="30" fillId="7" borderId="1" xfId="0" applyNumberFormat="1" applyFont="1" applyFill="1" applyBorder="1"/>
    <xf numFmtId="0" fontId="0" fillId="0" borderId="2" xfId="0" applyBorder="1"/>
    <xf numFmtId="0" fontId="30" fillId="0" borderId="2" xfId="0" applyFont="1" applyBorder="1"/>
    <xf numFmtId="0" fontId="32" fillId="0" borderId="2" xfId="0" applyFont="1" applyBorder="1"/>
    <xf numFmtId="3" fontId="0" fillId="0" borderId="0" xfId="0" applyNumberFormat="1" applyBorder="1"/>
    <xf numFmtId="0" fontId="0" fillId="0" borderId="0" xfId="0" applyFill="1" applyBorder="1"/>
    <xf numFmtId="0" fontId="33" fillId="0" borderId="1" xfId="0" applyFont="1" applyBorder="1"/>
    <xf numFmtId="0" fontId="34" fillId="8" borderId="3" xfId="0" applyFont="1" applyFill="1" applyBorder="1"/>
    <xf numFmtId="0" fontId="0" fillId="8" borderId="4" xfId="0" applyFill="1" applyBorder="1"/>
    <xf numFmtId="0" fontId="31" fillId="0" borderId="0" xfId="0" applyFont="1"/>
    <xf numFmtId="3" fontId="34" fillId="7" borderId="1" xfId="0" applyNumberFormat="1" applyFont="1" applyFill="1" applyBorder="1"/>
    <xf numFmtId="16" fontId="0" fillId="0" borderId="0" xfId="0" applyNumberFormat="1"/>
    <xf numFmtId="0" fontId="35" fillId="0" borderId="0" xfId="0" applyFont="1" applyAlignment="1">
      <alignment horizontal="left" vertical="center" indent="1"/>
    </xf>
    <xf numFmtId="3" fontId="30" fillId="0" borderId="0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30" fillId="0" borderId="4" xfId="0" applyNumberFormat="1" applyFont="1" applyBorder="1"/>
    <xf numFmtId="0" fontId="30" fillId="0" borderId="2" xfId="0" applyFont="1" applyFill="1" applyBorder="1"/>
    <xf numFmtId="0" fontId="0" fillId="0" borderId="2" xfId="0" applyFont="1" applyBorder="1"/>
    <xf numFmtId="0" fontId="0" fillId="0" borderId="2" xfId="0" applyFill="1" applyBorder="1"/>
    <xf numFmtId="3" fontId="30" fillId="9" borderId="1" xfId="0" applyNumberFormat="1" applyFont="1" applyFill="1" applyBorder="1"/>
    <xf numFmtId="0" fontId="0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3" fontId="30" fillId="0" borderId="0" xfId="0" applyNumberFormat="1" applyFont="1" applyProtection="1"/>
    <xf numFmtId="165" fontId="2" fillId="0" borderId="0" xfId="1" applyNumberFormat="1" applyFont="1" applyFill="1" applyBorder="1" applyAlignment="1" applyProtection="1"/>
    <xf numFmtId="0" fontId="30" fillId="0" borderId="0" xfId="0" applyFont="1" applyProtection="1"/>
    <xf numFmtId="0" fontId="30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166" fontId="4" fillId="0" borderId="0" xfId="2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167" fontId="2" fillId="0" borderId="0" xfId="1" applyNumberFormat="1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3" fillId="0" borderId="5" xfId="0" applyFont="1" applyFill="1" applyBorder="1" applyAlignment="1" applyProtection="1">
      <alignment horizontal="center" vertical="top" wrapText="1"/>
    </xf>
    <xf numFmtId="3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29" xfId="0" applyFont="1" applyFill="1" applyBorder="1" applyAlignment="1" applyProtection="1">
      <alignment horizontal="center" vertical="top" wrapText="1"/>
    </xf>
    <xf numFmtId="0" fontId="26" fillId="6" borderId="28" xfId="5" applyFont="1" applyProtection="1">
      <protection locked="0"/>
    </xf>
    <xf numFmtId="164" fontId="26" fillId="6" borderId="28" xfId="2" applyFont="1" applyFill="1" applyBorder="1" applyProtection="1">
      <protection locked="0"/>
    </xf>
    <xf numFmtId="0" fontId="0" fillId="0" borderId="0" xfId="0" applyProtection="1">
      <protection locked="0"/>
    </xf>
    <xf numFmtId="3" fontId="26" fillId="6" borderId="28" xfId="2" applyNumberFormat="1" applyFont="1" applyFill="1" applyBorder="1" applyProtection="1">
      <protection locked="0"/>
    </xf>
    <xf numFmtId="49" fontId="26" fillId="6" borderId="28" xfId="5" applyNumberFormat="1" applyFont="1" applyAlignment="1" applyProtection="1">
      <alignment horizontal="center"/>
      <protection locked="0"/>
    </xf>
    <xf numFmtId="164" fontId="26" fillId="6" borderId="28" xfId="2" applyFont="1" applyFill="1" applyBorder="1" applyProtection="1">
      <protection locked="0"/>
    </xf>
    <xf numFmtId="0" fontId="0" fillId="0" borderId="0" xfId="0" applyFont="1" applyFill="1" applyBorder="1"/>
    <xf numFmtId="0" fontId="0" fillId="0" borderId="0" xfId="0" applyFill="1"/>
    <xf numFmtId="1" fontId="0" fillId="0" borderId="1" xfId="0" applyNumberFormat="1" applyBorder="1"/>
    <xf numFmtId="0" fontId="30" fillId="8" borderId="4" xfId="0" applyFont="1" applyFill="1" applyBorder="1"/>
    <xf numFmtId="0" fontId="0" fillId="8" borderId="4" xfId="0" applyFont="1" applyFill="1" applyBorder="1"/>
    <xf numFmtId="0" fontId="34" fillId="0" borderId="0" xfId="0" applyFont="1" applyFill="1" applyBorder="1"/>
    <xf numFmtId="3" fontId="31" fillId="0" borderId="0" xfId="0" applyNumberFormat="1" applyFont="1" applyFill="1" applyBorder="1"/>
    <xf numFmtId="0" fontId="30" fillId="8" borderId="1" xfId="0" applyFont="1" applyFill="1" applyBorder="1"/>
    <xf numFmtId="0" fontId="0" fillId="8" borderId="1" xfId="0" applyFill="1" applyBorder="1"/>
    <xf numFmtId="0" fontId="36" fillId="0" borderId="3" xfId="0" applyFont="1" applyFill="1" applyBorder="1"/>
    <xf numFmtId="0" fontId="36" fillId="0" borderId="4" xfId="0" applyFont="1" applyFill="1" applyBorder="1"/>
    <xf numFmtId="0" fontId="32" fillId="8" borderId="4" xfId="0" applyFont="1" applyFill="1" applyBorder="1"/>
    <xf numFmtId="0" fontId="32" fillId="0" borderId="0" xfId="0" applyFont="1" applyFill="1" applyBorder="1"/>
    <xf numFmtId="3" fontId="32" fillId="0" borderId="0" xfId="0" applyNumberFormat="1" applyFont="1" applyFill="1" applyBorder="1"/>
    <xf numFmtId="3" fontId="0" fillId="0" borderId="0" xfId="0" applyNumberFormat="1" applyFill="1"/>
    <xf numFmtId="0" fontId="5" fillId="0" borderId="6" xfId="0" applyFont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5" fillId="7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5" fillId="8" borderId="7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3" fontId="33" fillId="7" borderId="1" xfId="0" applyNumberFormat="1" applyFont="1" applyFill="1" applyBorder="1"/>
    <xf numFmtId="0" fontId="34" fillId="8" borderId="9" xfId="0" applyFont="1" applyFill="1" applyBorder="1"/>
    <xf numFmtId="0" fontId="36" fillId="0" borderId="0" xfId="0" applyFont="1" applyFill="1" applyBorder="1"/>
    <xf numFmtId="3" fontId="36" fillId="0" borderId="0" xfId="0" applyNumberFormat="1" applyFont="1" applyFill="1" applyBorder="1"/>
    <xf numFmtId="0" fontId="0" fillId="0" borderId="1" xfId="0" applyFill="1" applyBorder="1"/>
    <xf numFmtId="0" fontId="34" fillId="8" borderId="1" xfId="0" applyFont="1" applyFill="1" applyBorder="1"/>
    <xf numFmtId="0" fontId="33" fillId="8" borderId="1" xfId="0" applyFont="1" applyFill="1" applyBorder="1"/>
    <xf numFmtId="0" fontId="34" fillId="0" borderId="0" xfId="0" applyFont="1" applyFill="1"/>
    <xf numFmtId="0" fontId="37" fillId="0" borderId="0" xfId="0" applyFont="1"/>
    <xf numFmtId="0" fontId="38" fillId="0" borderId="1" xfId="0" applyFont="1" applyBorder="1"/>
    <xf numFmtId="0" fontId="37" fillId="0" borderId="1" xfId="0" applyFont="1" applyBorder="1" applyAlignment="1">
      <alignment horizontal="center"/>
    </xf>
    <xf numFmtId="3" fontId="39" fillId="0" borderId="1" xfId="0" applyNumberFormat="1" applyFont="1" applyBorder="1"/>
    <xf numFmtId="3" fontId="37" fillId="0" borderId="1" xfId="0" applyNumberFormat="1" applyFont="1" applyBorder="1"/>
    <xf numFmtId="0" fontId="37" fillId="0" borderId="1" xfId="0" applyFont="1" applyBorder="1"/>
    <xf numFmtId="0" fontId="0" fillId="10" borderId="0" xfId="0" applyFill="1"/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0" borderId="5" xfId="0" applyBorder="1"/>
    <xf numFmtId="0" fontId="0" fillId="10" borderId="5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/>
    <xf numFmtId="0" fontId="30" fillId="10" borderId="12" xfId="0" applyFont="1" applyFill="1" applyBorder="1" applyAlignment="1">
      <alignment horizontal="center"/>
    </xf>
    <xf numFmtId="0" fontId="30" fillId="10" borderId="11" xfId="0" applyFont="1" applyFill="1" applyBorder="1" applyAlignment="1">
      <alignment horizontal="center"/>
    </xf>
    <xf numFmtId="3" fontId="0" fillId="0" borderId="5" xfId="0" applyNumberFormat="1" applyBorder="1"/>
    <xf numFmtId="0" fontId="0" fillId="10" borderId="5" xfId="0" applyFill="1" applyBorder="1"/>
    <xf numFmtId="0" fontId="0" fillId="10" borderId="10" xfId="0" applyFill="1" applyBorder="1"/>
    <xf numFmtId="0" fontId="0" fillId="0" borderId="1" xfId="0" applyFont="1" applyBorder="1"/>
    <xf numFmtId="0" fontId="38" fillId="0" borderId="0" xfId="0" applyFont="1" applyAlignment="1">
      <alignment horizontal="center"/>
    </xf>
    <xf numFmtId="3" fontId="6" fillId="0" borderId="5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0" fillId="9" borderId="0" xfId="0" applyFill="1" applyBorder="1" applyAlignment="1">
      <alignment horizontal="center"/>
    </xf>
    <xf numFmtId="3" fontId="30" fillId="0" borderId="3" xfId="0" applyNumberFormat="1" applyFont="1" applyBorder="1"/>
    <xf numFmtId="3" fontId="0" fillId="0" borderId="9" xfId="0" applyNumberFormat="1" applyBorder="1"/>
    <xf numFmtId="3" fontId="30" fillId="0" borderId="9" xfId="0" applyNumberFormat="1" applyFont="1" applyBorder="1"/>
    <xf numFmtId="3" fontId="5" fillId="7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7" borderId="1" xfId="0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30" fillId="7" borderId="1" xfId="0" applyFont="1" applyFill="1" applyBorder="1"/>
    <xf numFmtId="3" fontId="5" fillId="0" borderId="12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/>
    <xf numFmtId="0" fontId="0" fillId="7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 wrapText="1"/>
    </xf>
    <xf numFmtId="3" fontId="6" fillId="7" borderId="1" xfId="0" applyNumberFormat="1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7" borderId="1" xfId="0" applyFill="1" applyBorder="1" applyAlignment="1">
      <alignment vertical="top" wrapText="1"/>
    </xf>
    <xf numFmtId="3" fontId="30" fillId="9" borderId="3" xfId="0" applyNumberFormat="1" applyFont="1" applyFill="1" applyBorder="1"/>
    <xf numFmtId="3" fontId="6" fillId="0" borderId="12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7" fillId="0" borderId="10" xfId="0" applyFont="1" applyBorder="1"/>
    <xf numFmtId="0" fontId="8" fillId="0" borderId="10" xfId="0" applyFont="1" applyBorder="1"/>
    <xf numFmtId="0" fontId="9" fillId="0" borderId="0" xfId="0" applyFont="1" applyFill="1" applyBorder="1" applyAlignment="1"/>
    <xf numFmtId="0" fontId="7" fillId="0" borderId="14" xfId="0" applyFont="1" applyBorder="1" applyAlignment="1">
      <alignment wrapText="1"/>
    </xf>
    <xf numFmtId="0" fontId="34" fillId="0" borderId="1" xfId="3" applyFont="1" applyFill="1" applyBorder="1" applyAlignment="1">
      <alignment wrapText="1"/>
    </xf>
    <xf numFmtId="0" fontId="34" fillId="0" borderId="0" xfId="0" applyFont="1" applyAlignment="1">
      <alignment wrapText="1"/>
    </xf>
    <xf numFmtId="0" fontId="40" fillId="0" borderId="0" xfId="0" applyFont="1"/>
    <xf numFmtId="0" fontId="36" fillId="0" borderId="1" xfId="0" applyFont="1" applyBorder="1" applyAlignment="1">
      <alignment wrapText="1"/>
    </xf>
    <xf numFmtId="0" fontId="40" fillId="0" borderId="1" xfId="0" applyFont="1" applyBorder="1"/>
    <xf numFmtId="3" fontId="40" fillId="0" borderId="1" xfId="0" applyNumberFormat="1" applyFont="1" applyBorder="1"/>
    <xf numFmtId="3" fontId="6" fillId="7" borderId="8" xfId="0" applyNumberFormat="1" applyFont="1" applyFill="1" applyBorder="1" applyAlignment="1">
      <alignment horizontal="center" wrapText="1"/>
    </xf>
    <xf numFmtId="0" fontId="30" fillId="7" borderId="1" xfId="0" applyFont="1" applyFill="1" applyBorder="1" applyAlignment="1">
      <alignment wrapText="1"/>
    </xf>
    <xf numFmtId="0" fontId="41" fillId="0" borderId="15" xfId="0" applyFont="1" applyFill="1" applyBorder="1" applyAlignment="1">
      <alignment wrapText="1"/>
    </xf>
    <xf numFmtId="0" fontId="38" fillId="0" borderId="0" xfId="0" applyFont="1" applyAlignment="1">
      <alignment horizontal="center"/>
    </xf>
    <xf numFmtId="3" fontId="42" fillId="0" borderId="0" xfId="0" applyNumberFormat="1" applyFont="1"/>
    <xf numFmtId="9" fontId="0" fillId="0" borderId="0" xfId="0" applyNumberFormat="1"/>
    <xf numFmtId="0" fontId="33" fillId="0" borderId="1" xfId="3" applyFont="1" applyFill="1" applyBorder="1" applyAlignment="1">
      <alignment wrapText="1"/>
    </xf>
    <xf numFmtId="0" fontId="43" fillId="0" borderId="0" xfId="0" applyFont="1" applyAlignment="1">
      <alignment horizontal="left" vertical="center" indent="3"/>
    </xf>
    <xf numFmtId="0" fontId="0" fillId="3" borderId="1" xfId="0" applyFill="1" applyBorder="1"/>
    <xf numFmtId="0" fontId="15" fillId="3" borderId="1" xfId="0" applyFont="1" applyFill="1" applyBorder="1"/>
    <xf numFmtId="3" fontId="0" fillId="2" borderId="1" xfId="0" applyNumberFormat="1" applyFill="1" applyBorder="1"/>
    <xf numFmtId="0" fontId="0" fillId="2" borderId="1" xfId="0" applyFill="1" applyBorder="1"/>
    <xf numFmtId="9" fontId="0" fillId="10" borderId="12" xfId="0" applyNumberFormat="1" applyFill="1" applyBorder="1"/>
    <xf numFmtId="9" fontId="0" fillId="10" borderId="11" xfId="0" applyNumberFormat="1" applyFill="1" applyBorder="1"/>
    <xf numFmtId="9" fontId="0" fillId="10" borderId="13" xfId="0" applyNumberFormat="1" applyFill="1" applyBorder="1"/>
    <xf numFmtId="0" fontId="33" fillId="8" borderId="3" xfId="0" applyFont="1" applyFill="1" applyBorder="1"/>
    <xf numFmtId="0" fontId="33" fillId="8" borderId="9" xfId="0" applyFont="1" applyFill="1" applyBorder="1"/>
    <xf numFmtId="3" fontId="33" fillId="8" borderId="4" xfId="0" applyNumberFormat="1" applyFont="1" applyFill="1" applyBorder="1"/>
    <xf numFmtId="3" fontId="44" fillId="0" borderId="1" xfId="0" applyNumberFormat="1" applyFont="1" applyBorder="1"/>
    <xf numFmtId="0" fontId="38" fillId="0" borderId="1" xfId="0" applyFont="1" applyFill="1" applyBorder="1"/>
    <xf numFmtId="0" fontId="4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1" fillId="0" borderId="0" xfId="0" applyFont="1"/>
    <xf numFmtId="3" fontId="21" fillId="0" borderId="0" xfId="0" applyNumberFormat="1" applyFont="1"/>
    <xf numFmtId="0" fontId="10" fillId="0" borderId="0" xfId="0" applyFont="1" applyAlignment="1">
      <alignment horizontal="left"/>
    </xf>
    <xf numFmtId="0" fontId="11" fillId="4" borderId="1" xfId="0" applyFont="1" applyFill="1" applyBorder="1"/>
    <xf numFmtId="3" fontId="11" fillId="4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9" fontId="0" fillId="4" borderId="1" xfId="0" applyNumberFormat="1" applyFill="1" applyBorder="1"/>
    <xf numFmtId="0" fontId="13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wrapText="1"/>
    </xf>
    <xf numFmtId="0" fontId="14" fillId="2" borderId="1" xfId="0" applyFont="1" applyFill="1" applyBorder="1"/>
    <xf numFmtId="0" fontId="12" fillId="2" borderId="1" xfId="0" applyFont="1" applyFill="1" applyBorder="1"/>
    <xf numFmtId="0" fontId="45" fillId="4" borderId="1" xfId="0" applyFont="1" applyFill="1" applyBorder="1"/>
    <xf numFmtId="3" fontId="45" fillId="4" borderId="1" xfId="0" applyNumberFormat="1" applyFont="1" applyFill="1" applyBorder="1"/>
    <xf numFmtId="0" fontId="45" fillId="0" borderId="0" xfId="0" applyFont="1"/>
    <xf numFmtId="3" fontId="16" fillId="4" borderId="1" xfId="0" applyNumberFormat="1" applyFont="1" applyFill="1" applyBorder="1"/>
    <xf numFmtId="0" fontId="23" fillId="4" borderId="1" xfId="0" applyFont="1" applyFill="1" applyBorder="1"/>
    <xf numFmtId="0" fontId="17" fillId="2" borderId="1" xfId="0" applyFont="1" applyFill="1" applyBorder="1"/>
    <xf numFmtId="3" fontId="17" fillId="4" borderId="1" xfId="0" applyNumberFormat="1" applyFont="1" applyFill="1" applyBorder="1"/>
    <xf numFmtId="0" fontId="24" fillId="0" borderId="0" xfId="0" applyFont="1"/>
    <xf numFmtId="3" fontId="24" fillId="0" borderId="0" xfId="0" applyNumberFormat="1" applyFont="1"/>
    <xf numFmtId="0" fontId="46" fillId="0" borderId="1" xfId="0" applyFont="1" applyBorder="1"/>
    <xf numFmtId="0" fontId="0" fillId="0" borderId="0" xfId="0" applyAlignment="1">
      <alignment horizontal="right"/>
    </xf>
    <xf numFmtId="3" fontId="25" fillId="0" borderId="1" xfId="0" applyNumberFormat="1" applyFont="1" applyBorder="1" applyAlignment="1">
      <alignment horizontal="center" vertical="top" wrapText="1"/>
    </xf>
    <xf numFmtId="0" fontId="34" fillId="11" borderId="3" xfId="0" applyFont="1" applyFill="1" applyBorder="1"/>
    <xf numFmtId="0" fontId="34" fillId="11" borderId="9" xfId="0" applyFont="1" applyFill="1" applyBorder="1"/>
    <xf numFmtId="0" fontId="33" fillId="11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6" fillId="8" borderId="12" xfId="0" applyFont="1" applyFill="1" applyBorder="1"/>
    <xf numFmtId="0" fontId="36" fillId="8" borderId="13" xfId="0" applyFont="1" applyFill="1" applyBorder="1"/>
    <xf numFmtId="0" fontId="30" fillId="11" borderId="3" xfId="0" applyFont="1" applyFill="1" applyBorder="1"/>
    <xf numFmtId="0" fontId="30" fillId="11" borderId="9" xfId="0" applyFont="1" applyFill="1" applyBorder="1"/>
    <xf numFmtId="0" fontId="30" fillId="8" borderId="3" xfId="0" applyFont="1" applyFill="1" applyBorder="1"/>
    <xf numFmtId="0" fontId="30" fillId="8" borderId="9" xfId="0" applyFont="1" applyFill="1" applyBorder="1"/>
    <xf numFmtId="0" fontId="33" fillId="8" borderId="17" xfId="0" applyFont="1" applyFill="1" applyBorder="1"/>
    <xf numFmtId="0" fontId="33" fillId="8" borderId="16" xfId="0" applyFont="1" applyFill="1" applyBorder="1"/>
    <xf numFmtId="0" fontId="30" fillId="11" borderId="3" xfId="0" applyFont="1" applyFill="1" applyBorder="1" applyAlignment="1">
      <alignment horizontal="left" vertical="top" wrapText="1"/>
    </xf>
    <xf numFmtId="0" fontId="30" fillId="0" borderId="0" xfId="0" applyFont="1" applyFill="1"/>
    <xf numFmtId="0" fontId="30" fillId="0" borderId="0" xfId="0" applyFont="1" applyFill="1" applyBorder="1"/>
    <xf numFmtId="0" fontId="40" fillId="8" borderId="3" xfId="0" applyFont="1" applyFill="1" applyBorder="1"/>
    <xf numFmtId="0" fontId="40" fillId="8" borderId="4" xfId="0" applyFont="1" applyFill="1" applyBorder="1"/>
    <xf numFmtId="0" fontId="30" fillId="11" borderId="12" xfId="0" applyFont="1" applyFill="1" applyBorder="1"/>
    <xf numFmtId="0" fontId="27" fillId="0" borderId="0" xfId="0" applyFont="1"/>
    <xf numFmtId="0" fontId="38" fillId="0" borderId="1" xfId="0" applyFont="1" applyBorder="1" applyAlignment="1"/>
    <xf numFmtId="0" fontId="37" fillId="0" borderId="1" xfId="0" applyFont="1" applyBorder="1" applyAlignment="1">
      <alignment horizontal="left" wrapText="1"/>
    </xf>
    <xf numFmtId="0" fontId="37" fillId="0" borderId="3" xfId="0" applyFont="1" applyBorder="1"/>
    <xf numFmtId="0" fontId="37" fillId="0" borderId="4" xfId="0" applyFont="1" applyBorder="1"/>
    <xf numFmtId="0" fontId="26" fillId="6" borderId="28" xfId="5" applyFont="1" applyProtection="1">
      <protection locked="0"/>
    </xf>
    <xf numFmtId="0" fontId="37" fillId="0" borderId="30" xfId="0" applyFont="1" applyBorder="1"/>
    <xf numFmtId="3" fontId="38" fillId="0" borderId="1" xfId="0" applyNumberFormat="1" applyFont="1" applyBorder="1"/>
    <xf numFmtId="0" fontId="34" fillId="0" borderId="2" xfId="0" applyFont="1" applyBorder="1"/>
    <xf numFmtId="0" fontId="34" fillId="8" borderId="4" xfId="0" applyFont="1" applyFill="1" applyBorder="1"/>
    <xf numFmtId="3" fontId="34" fillId="0" borderId="1" xfId="0" applyNumberFormat="1" applyFont="1" applyBorder="1"/>
    <xf numFmtId="3" fontId="34" fillId="0" borderId="3" xfId="0" applyNumberFormat="1" applyFont="1" applyBorder="1"/>
    <xf numFmtId="0" fontId="34" fillId="0" borderId="0" xfId="0" applyFont="1"/>
    <xf numFmtId="0" fontId="34" fillId="0" borderId="1" xfId="0" applyFont="1" applyBorder="1"/>
    <xf numFmtId="0" fontId="0" fillId="0" borderId="0" xfId="0" applyAlignment="1">
      <alignment wrapText="1"/>
    </xf>
    <xf numFmtId="0" fontId="0" fillId="10" borderId="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3" fontId="31" fillId="4" borderId="1" xfId="0" applyNumberFormat="1" applyFont="1" applyFill="1" applyBorder="1"/>
    <xf numFmtId="0" fontId="0" fillId="0" borderId="0" xfId="0" applyBorder="1"/>
    <xf numFmtId="0" fontId="12" fillId="0" borderId="0" xfId="0" applyFont="1" applyBorder="1"/>
    <xf numFmtId="0" fontId="18" fillId="0" borderId="0" xfId="0" applyFont="1" applyBorder="1"/>
    <xf numFmtId="0" fontId="47" fillId="4" borderId="1" xfId="0" applyFont="1" applyFill="1" applyBorder="1" applyAlignment="1">
      <alignment wrapText="1"/>
    </xf>
    <xf numFmtId="0" fontId="48" fillId="4" borderId="1" xfId="0" applyFont="1" applyFill="1" applyBorder="1" applyAlignment="1">
      <alignment vertical="top" wrapText="1"/>
    </xf>
    <xf numFmtId="0" fontId="48" fillId="2" borderId="1" xfId="0" applyFont="1" applyFill="1" applyBorder="1"/>
    <xf numFmtId="3" fontId="49" fillId="4" borderId="1" xfId="0" applyNumberFormat="1" applyFont="1" applyFill="1" applyBorder="1"/>
    <xf numFmtId="0" fontId="48" fillId="4" borderId="1" xfId="0" applyFont="1" applyFill="1" applyBorder="1" applyAlignment="1">
      <alignment wrapText="1"/>
    </xf>
    <xf numFmtId="0" fontId="48" fillId="2" borderId="11" xfId="0" applyFont="1" applyFill="1" applyBorder="1"/>
    <xf numFmtId="0" fontId="48" fillId="2" borderId="9" xfId="0" applyFont="1" applyFill="1" applyBorder="1"/>
    <xf numFmtId="0" fontId="48" fillId="2" borderId="16" xfId="0" applyFont="1" applyFill="1" applyBorder="1"/>
    <xf numFmtId="3" fontId="50" fillId="4" borderId="1" xfId="0" applyNumberFormat="1" applyFont="1" applyFill="1" applyBorder="1"/>
    <xf numFmtId="0" fontId="47" fillId="4" borderId="1" xfId="0" applyFont="1" applyFill="1" applyBorder="1" applyAlignment="1">
      <alignment vertical="top" wrapText="1"/>
    </xf>
    <xf numFmtId="0" fontId="47" fillId="2" borderId="1" xfId="0" applyFont="1" applyFill="1" applyBorder="1"/>
    <xf numFmtId="3" fontId="51" fillId="4" borderId="1" xfId="0" applyNumberFormat="1" applyFont="1" applyFill="1" applyBorder="1"/>
    <xf numFmtId="0" fontId="49" fillId="0" borderId="0" xfId="0" applyFont="1"/>
    <xf numFmtId="0" fontId="52" fillId="0" borderId="0" xfId="0" applyFont="1"/>
    <xf numFmtId="3" fontId="37" fillId="0" borderId="0" xfId="0" applyNumberFormat="1" applyFont="1"/>
    <xf numFmtId="0" fontId="34" fillId="4" borderId="1" xfId="0" applyFont="1" applyFill="1" applyBorder="1"/>
    <xf numFmtId="0" fontId="13" fillId="4" borderId="1" xfId="0" applyFont="1" applyFill="1" applyBorder="1"/>
    <xf numFmtId="0" fontId="34" fillId="2" borderId="1" xfId="0" applyFont="1" applyFill="1" applyBorder="1"/>
    <xf numFmtId="3" fontId="34" fillId="4" borderId="1" xfId="0" applyNumberFormat="1" applyFont="1" applyFill="1" applyBorder="1"/>
    <xf numFmtId="0" fontId="17" fillId="0" borderId="0" xfId="0" applyFont="1"/>
    <xf numFmtId="0" fontId="13" fillId="0" borderId="0" xfId="0" applyFont="1"/>
    <xf numFmtId="0" fontId="26" fillId="6" borderId="28" xfId="5" applyFont="1" applyAlignment="1" applyProtection="1">
      <alignment horizontal="center"/>
      <protection locked="0"/>
    </xf>
    <xf numFmtId="168" fontId="26" fillId="6" borderId="28" xfId="5" applyNumberFormat="1" applyFont="1" applyAlignment="1" applyProtection="1">
      <alignment horizontal="center"/>
      <protection locked="0"/>
    </xf>
    <xf numFmtId="3" fontId="26" fillId="6" borderId="28" xfId="2" applyNumberFormat="1" applyFont="1" applyFill="1" applyBorder="1" applyAlignment="1" applyProtection="1">
      <alignment horizontal="center"/>
      <protection locked="0"/>
    </xf>
    <xf numFmtId="0" fontId="26" fillId="6" borderId="28" xfId="2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wrapText="1"/>
    </xf>
    <xf numFmtId="0" fontId="30" fillId="10" borderId="11" xfId="0" applyFont="1" applyFill="1" applyBorder="1" applyAlignment="1">
      <alignment horizontal="center"/>
    </xf>
    <xf numFmtId="1" fontId="33" fillId="11" borderId="0" xfId="0" applyNumberFormat="1" applyFont="1" applyFill="1" applyBorder="1" applyAlignment="1">
      <alignment horizontal="right"/>
    </xf>
    <xf numFmtId="3" fontId="0" fillId="0" borderId="1" xfId="0" applyNumberFormat="1" applyFill="1" applyBorder="1"/>
    <xf numFmtId="0" fontId="33" fillId="11" borderId="0" xfId="0" applyFont="1" applyFill="1" applyBorder="1"/>
    <xf numFmtId="0" fontId="30" fillId="11" borderId="0" xfId="0" applyFont="1" applyFill="1" applyBorder="1"/>
    <xf numFmtId="0" fontId="0" fillId="6" borderId="28" xfId="5" applyFont="1" applyProtection="1">
      <protection locked="0"/>
    </xf>
    <xf numFmtId="0" fontId="34" fillId="0" borderId="1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9" fillId="10" borderId="3" xfId="0" applyFont="1" applyFill="1" applyBorder="1" applyAlignment="1">
      <alignment horizontal="center" vertical="top"/>
    </xf>
    <xf numFmtId="0" fontId="9" fillId="10" borderId="9" xfId="0" applyFont="1" applyFill="1" applyBorder="1" applyAlignment="1">
      <alignment horizontal="center" vertical="top"/>
    </xf>
    <xf numFmtId="0" fontId="9" fillId="10" borderId="4" xfId="0" applyFont="1" applyFill="1" applyBorder="1" applyAlignment="1">
      <alignment horizontal="center" vertical="top"/>
    </xf>
    <xf numFmtId="0" fontId="9" fillId="0" borderId="0" xfId="0" applyFont="1"/>
    <xf numFmtId="0" fontId="5" fillId="0" borderId="6" xfId="0" applyFont="1" applyBorder="1" applyAlignment="1">
      <alignment vertical="top" wrapText="1"/>
    </xf>
    <xf numFmtId="0" fontId="5" fillId="8" borderId="7" xfId="0" applyFont="1" applyFill="1" applyBorder="1" applyAlignment="1">
      <alignment vertical="top" wrapText="1"/>
    </xf>
    <xf numFmtId="0" fontId="5" fillId="8" borderId="7" xfId="0" applyFont="1" applyFill="1" applyBorder="1" applyAlignment="1">
      <alignment horizontal="center" vertical="top" wrapText="1"/>
    </xf>
    <xf numFmtId="3" fontId="6" fillId="7" borderId="8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30" fillId="7" borderId="1" xfId="0" applyFont="1" applyFill="1" applyBorder="1" applyAlignment="1">
      <alignment vertical="top" wrapText="1"/>
    </xf>
    <xf numFmtId="3" fontId="34" fillId="7" borderId="1" xfId="0" applyNumberFormat="1" applyFont="1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3" fontId="31" fillId="7" borderId="1" xfId="0" applyNumberFormat="1" applyFont="1" applyFill="1" applyBorder="1" applyProtection="1">
      <protection locked="0"/>
    </xf>
    <xf numFmtId="3" fontId="0" fillId="7" borderId="3" xfId="0" applyNumberFormat="1" applyFill="1" applyBorder="1" applyProtection="1">
      <protection locked="0"/>
    </xf>
    <xf numFmtId="3" fontId="30" fillId="7" borderId="1" xfId="0" applyNumberFormat="1" applyFont="1" applyFill="1" applyBorder="1" applyProtection="1">
      <protection locked="0"/>
    </xf>
    <xf numFmtId="0" fontId="30" fillId="7" borderId="1" xfId="0" applyFont="1" applyFill="1" applyBorder="1" applyProtection="1">
      <protection locked="0"/>
    </xf>
    <xf numFmtId="3" fontId="30" fillId="7" borderId="3" xfId="0" applyNumberFormat="1" applyFont="1" applyFill="1" applyBorder="1" applyProtection="1">
      <protection locked="0"/>
    </xf>
    <xf numFmtId="0" fontId="30" fillId="7" borderId="3" xfId="0" applyFon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16" fillId="2" borderId="1" xfId="0" applyNumberFormat="1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3" fontId="34" fillId="0" borderId="1" xfId="0" applyNumberFormat="1" applyFont="1" applyBorder="1" applyProtection="1">
      <protection locked="0"/>
    </xf>
    <xf numFmtId="0" fontId="31" fillId="7" borderId="1" xfId="0" applyFont="1" applyFill="1" applyBorder="1" applyProtection="1">
      <protection locked="0"/>
    </xf>
    <xf numFmtId="0" fontId="34" fillId="7" borderId="1" xfId="0" applyFont="1" applyFill="1" applyBorder="1" applyProtection="1">
      <protection locked="0"/>
    </xf>
    <xf numFmtId="3" fontId="33" fillId="11" borderId="4" xfId="0" applyNumberFormat="1" applyFont="1" applyFill="1" applyBorder="1" applyProtection="1">
      <protection locked="0"/>
    </xf>
    <xf numFmtId="3" fontId="30" fillId="11" borderId="4" xfId="0" applyNumberFormat="1" applyFont="1" applyFill="1" applyBorder="1" applyProtection="1">
      <protection locked="0"/>
    </xf>
    <xf numFmtId="0" fontId="33" fillId="11" borderId="4" xfId="0" applyFont="1" applyFill="1" applyBorder="1" applyProtection="1">
      <protection locked="0"/>
    </xf>
    <xf numFmtId="0" fontId="30" fillId="11" borderId="13" xfId="0" applyFont="1" applyFill="1" applyBorder="1" applyProtection="1">
      <protection locked="0"/>
    </xf>
    <xf numFmtId="0" fontId="0" fillId="7" borderId="1" xfId="0" applyFont="1" applyFill="1" applyBorder="1" applyAlignment="1" applyProtection="1">
      <alignment wrapText="1"/>
      <protection locked="0"/>
    </xf>
    <xf numFmtId="3" fontId="34" fillId="11" borderId="4" xfId="0" applyNumberFormat="1" applyFont="1" applyFill="1" applyBorder="1" applyProtection="1">
      <protection locked="0"/>
    </xf>
    <xf numFmtId="0" fontId="34" fillId="2" borderId="1" xfId="0" applyFont="1" applyFill="1" applyBorder="1" applyProtection="1">
      <protection locked="0"/>
    </xf>
    <xf numFmtId="0" fontId="22" fillId="2" borderId="1" xfId="4" applyFont="1" applyFill="1" applyBorder="1" applyAlignment="1" applyProtection="1">
      <alignment horizontal="center" vertical="top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6" fillId="2" borderId="1" xfId="0" applyFont="1" applyFill="1" applyBorder="1" applyProtection="1">
      <protection locked="0"/>
    </xf>
    <xf numFmtId="3" fontId="39" fillId="0" borderId="1" xfId="0" applyNumberFormat="1" applyFont="1" applyBorder="1" applyProtection="1">
      <protection locked="0"/>
    </xf>
    <xf numFmtId="0" fontId="0" fillId="7" borderId="1" xfId="0" applyFill="1" applyBorder="1" applyAlignment="1">
      <alignment wrapText="1"/>
    </xf>
    <xf numFmtId="0" fontId="34" fillId="0" borderId="1" xfId="0" applyFont="1" applyFill="1" applyBorder="1" applyProtection="1">
      <protection locked="0"/>
    </xf>
    <xf numFmtId="0" fontId="0" fillId="8" borderId="3" xfId="0" applyFill="1" applyBorder="1" applyAlignment="1">
      <alignment wrapText="1"/>
    </xf>
    <xf numFmtId="0" fontId="0" fillId="0" borderId="1" xfId="0" applyFill="1" applyBorder="1" applyProtection="1"/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167" fontId="30" fillId="0" borderId="1" xfId="1" applyNumberFormat="1" applyFont="1" applyBorder="1"/>
    <xf numFmtId="3" fontId="30" fillId="0" borderId="5" xfId="0" applyNumberFormat="1" applyFont="1" applyFill="1" applyBorder="1"/>
    <xf numFmtId="3" fontId="30" fillId="0" borderId="5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41" fillId="2" borderId="21" xfId="0" applyFont="1" applyFill="1" applyBorder="1" applyAlignment="1">
      <alignment horizontal="center"/>
    </xf>
    <xf numFmtId="0" fontId="41" fillId="2" borderId="22" xfId="0" applyFont="1" applyFill="1" applyBorder="1" applyAlignment="1">
      <alignment horizontal="center"/>
    </xf>
    <xf numFmtId="0" fontId="30" fillId="10" borderId="3" xfId="0" applyFont="1" applyFill="1" applyBorder="1" applyAlignment="1">
      <alignment horizontal="center"/>
    </xf>
    <xf numFmtId="0" fontId="30" fillId="10" borderId="9" xfId="0" applyFont="1" applyFill="1" applyBorder="1" applyAlignment="1">
      <alignment horizontal="center"/>
    </xf>
    <xf numFmtId="0" fontId="30" fillId="10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9" fontId="0" fillId="7" borderId="1" xfId="0" applyNumberFormat="1" applyFill="1" applyBorder="1" applyProtection="1">
      <protection locked="0"/>
    </xf>
    <xf numFmtId="3" fontId="33" fillId="11" borderId="4" xfId="0" applyNumberFormat="1" applyFont="1" applyFill="1" applyBorder="1" applyAlignment="1" applyProtection="1">
      <alignment horizontal="right" wrapText="1"/>
      <protection locked="0"/>
    </xf>
    <xf numFmtId="1" fontId="33" fillId="11" borderId="4" xfId="0" applyNumberFormat="1" applyFont="1" applyFill="1" applyBorder="1" applyAlignment="1" applyProtection="1">
      <alignment horizontal="right"/>
      <protection locked="0"/>
    </xf>
    <xf numFmtId="3" fontId="33" fillId="8" borderId="4" xfId="0" applyNumberFormat="1" applyFont="1" applyFill="1" applyBorder="1" applyProtection="1">
      <protection locked="0"/>
    </xf>
    <xf numFmtId="0" fontId="32" fillId="8" borderId="4" xfId="0" applyFont="1" applyFill="1" applyBorder="1" applyProtection="1">
      <protection locked="0"/>
    </xf>
    <xf numFmtId="0" fontId="30" fillId="11" borderId="4" xfId="0" applyFont="1" applyFill="1" applyBorder="1" applyProtection="1">
      <protection locked="0"/>
    </xf>
    <xf numFmtId="3" fontId="30" fillId="8" borderId="4" xfId="0" applyNumberFormat="1" applyFont="1" applyFill="1" applyBorder="1" applyProtection="1">
      <protection locked="0"/>
    </xf>
    <xf numFmtId="0" fontId="33" fillId="8" borderId="4" xfId="0" applyFont="1" applyFill="1" applyBorder="1" applyProtection="1">
      <protection locked="0"/>
    </xf>
    <xf numFmtId="164" fontId="0" fillId="6" borderId="28" xfId="2" applyFont="1" applyFill="1" applyBorder="1" applyProtection="1">
      <protection locked="0"/>
    </xf>
    <xf numFmtId="0" fontId="34" fillId="0" borderId="1" xfId="0" applyFont="1" applyFill="1" applyBorder="1" applyProtection="1"/>
    <xf numFmtId="0" fontId="30" fillId="10" borderId="0" xfId="0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33" fillId="11" borderId="13" xfId="0" applyFont="1" applyFill="1" applyBorder="1" applyProtection="1">
      <protection locked="0"/>
    </xf>
    <xf numFmtId="0" fontId="3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0" fillId="9" borderId="0" xfId="0" applyFill="1" applyBorder="1" applyAlignment="1">
      <alignment horizontal="center"/>
    </xf>
    <xf numFmtId="0" fontId="41" fillId="2" borderId="21" xfId="0" applyFont="1" applyFill="1" applyBorder="1" applyAlignment="1">
      <alignment horizontal="center"/>
    </xf>
    <xf numFmtId="0" fontId="41" fillId="2" borderId="22" xfId="0" applyFont="1" applyFill="1" applyBorder="1" applyAlignment="1">
      <alignment horizontal="center"/>
    </xf>
    <xf numFmtId="0" fontId="41" fillId="2" borderId="23" xfId="0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30" fillId="10" borderId="17" xfId="0" applyFont="1" applyFill="1" applyBorder="1" applyAlignment="1">
      <alignment horizontal="center"/>
    </xf>
    <xf numFmtId="0" fontId="30" fillId="10" borderId="16" xfId="0" applyFont="1" applyFill="1" applyBorder="1" applyAlignment="1">
      <alignment horizontal="center"/>
    </xf>
    <xf numFmtId="0" fontId="30" fillId="10" borderId="27" xfId="0" applyFont="1" applyFill="1" applyBorder="1" applyAlignment="1">
      <alignment horizontal="center"/>
    </xf>
    <xf numFmtId="0" fontId="30" fillId="10" borderId="12" xfId="0" applyFont="1" applyFill="1" applyBorder="1" applyAlignment="1">
      <alignment horizontal="center"/>
    </xf>
    <xf numFmtId="0" fontId="30" fillId="10" borderId="11" xfId="0" applyFont="1" applyFill="1" applyBorder="1" applyAlignment="1">
      <alignment horizontal="center"/>
    </xf>
    <xf numFmtId="0" fontId="30" fillId="10" borderId="1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0" fillId="10" borderId="5" xfId="0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30" fillId="10" borderId="3" xfId="0" applyFont="1" applyFill="1" applyBorder="1" applyAlignment="1">
      <alignment horizontal="center"/>
    </xf>
    <xf numFmtId="0" fontId="30" fillId="10" borderId="9" xfId="0" applyFont="1" applyFill="1" applyBorder="1" applyAlignment="1">
      <alignment horizontal="center"/>
    </xf>
    <xf numFmtId="0" fontId="30" fillId="10" borderId="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9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6" fillId="0" borderId="1" xfId="0" applyFont="1" applyBorder="1" applyAlignment="1">
      <alignment horizontal="center"/>
    </xf>
  </cellXfs>
  <cellStyles count="6">
    <cellStyle name="Comma" xfId="1" builtinId="3"/>
    <cellStyle name="Comma 6" xfId="2"/>
    <cellStyle name="Good" xfId="3" builtinId="26"/>
    <cellStyle name="Hyperlink" xfId="4" builtinId="8"/>
    <cellStyle name="Normal" xfId="0" builtinId="0"/>
    <cellStyle name="Note" xfId="5" builtinId="1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'Oppsummering '!$H$2</c:f>
              <c:strCache>
                <c:ptCount val="1"/>
                <c:pt idx="0">
                  <c:v>Sum timer 2021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29-48DA-8DF4-51FCB5C834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29-48DA-8DF4-51FCB5C834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629-48DA-8DF4-51FCB5C8341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629-48DA-8DF4-51FCB5C8341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629-48DA-8DF4-51FCB5C834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'Oppsummering '!$A$3:$A$7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Undervisning valgemner</c:v>
                </c:pt>
              </c:strCache>
            </c:strRef>
          </c:cat>
          <c:val>
            <c:numRef>
              <c:f>'Oppsummering '!$H$3:$H$7</c:f>
              <c:numCache>
                <c:formatCode>#,##0</c:formatCode>
                <c:ptCount val="5"/>
                <c:pt idx="0">
                  <c:v>4035.1428571428569</c:v>
                </c:pt>
                <c:pt idx="1">
                  <c:v>1663.5857142857144</c:v>
                </c:pt>
                <c:pt idx="2">
                  <c:v>1624.2857142857142</c:v>
                </c:pt>
                <c:pt idx="3">
                  <c:v>1589.2380952380956</c:v>
                </c:pt>
                <c:pt idx="4">
                  <c:v>1488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29-48DA-8DF4-51FCB5C83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'!$B$1:$E$1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'Oppsummering '!$A$3:$A$7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Undervisning valgemner</c:v>
                </c:pt>
              </c:strCache>
            </c:strRef>
          </c:cat>
          <c:val>
            <c:numRef>
              <c:f>'Oppsummering '!$D$3:$D$7</c:f>
              <c:numCache>
                <c:formatCode>#,##0</c:formatCode>
                <c:ptCount val="5"/>
                <c:pt idx="0">
                  <c:v>5701335.8719999995</c:v>
                </c:pt>
                <c:pt idx="1">
                  <c:v>3065130</c:v>
                </c:pt>
                <c:pt idx="2">
                  <c:v>3411000</c:v>
                </c:pt>
                <c:pt idx="3">
                  <c:v>3295400</c:v>
                </c:pt>
                <c:pt idx="4">
                  <c:v>2284800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8-4598-B806-151C049881D2}"/>
            </c:ext>
          </c:extLst>
        </c:ser>
        <c:ser>
          <c:idx val="1"/>
          <c:order val="1"/>
          <c:tx>
            <c:strRef>
              <c:f>'Oppsummering '!$F$1:$G$1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'Oppsummering '!$A$3:$A$7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Undervisning valgemner</c:v>
                </c:pt>
              </c:strCache>
            </c:strRef>
          </c:cat>
          <c:val>
            <c:numRef>
              <c:f>'Oppsummering '!$F$3:$F$7</c:f>
              <c:numCache>
                <c:formatCode>#,##0</c:formatCode>
                <c:ptCount val="5"/>
                <c:pt idx="0">
                  <c:v>5743335.8719999995</c:v>
                </c:pt>
                <c:pt idx="1">
                  <c:v>3300330</c:v>
                </c:pt>
                <c:pt idx="2">
                  <c:v>3331600</c:v>
                </c:pt>
                <c:pt idx="3">
                  <c:v>2732750</c:v>
                </c:pt>
                <c:pt idx="4">
                  <c:v>2268000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58-4598-B806-151C04988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642408"/>
        <c:axId val="255642736"/>
      </c:barChart>
      <c:catAx>
        <c:axId val="25564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5642736"/>
        <c:crosses val="autoZero"/>
        <c:auto val="1"/>
        <c:lblAlgn val="ctr"/>
        <c:lblOffset val="100"/>
        <c:noMultiLvlLbl val="0"/>
      </c:catAx>
      <c:valAx>
        <c:axId val="25564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5642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152400</xdr:rowOff>
    </xdr:from>
    <xdr:to>
      <xdr:col>4</xdr:col>
      <xdr:colOff>476250</xdr:colOff>
      <xdr:row>36</xdr:row>
      <xdr:rowOff>38100</xdr:rowOff>
    </xdr:to>
    <xdr:graphicFrame macro="">
      <xdr:nvGraphicFramePr>
        <xdr:cNvPr id="74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791765</xdr:colOff>
      <xdr:row>21</xdr:row>
      <xdr:rowOff>188118</xdr:rowOff>
    </xdr:from>
    <xdr:to>
      <xdr:col>8</xdr:col>
      <xdr:colOff>964406</xdr:colOff>
      <xdr:row>36</xdr:row>
      <xdr:rowOff>47623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kadm/Studieseksjonen/Undervisningsplanlegging/Undervisningsbudsjett/2020/Budsjett_2020_1_5&#229;r_for-undervisningsplanlegge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kadm/Studieseksjonen/Undervisningsplanlegging/Undervisningsbudsjett/2020/Budsjett_2020_1_5&#229;r_for-undervisningsplanlegge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tudieår"/>
      <sheetName val="2. studieår"/>
      <sheetName val="3. studieår"/>
      <sheetName val="4. studieår"/>
      <sheetName val="Valgemner"/>
      <sheetName val="Diverse"/>
      <sheetName val="Oppsummering "/>
      <sheetName val="Buddyarket"/>
      <sheetName val="HUMR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5743335.8719999995</v>
          </cell>
        </row>
        <row r="4">
          <cell r="D4">
            <v>3300330</v>
          </cell>
        </row>
        <row r="5">
          <cell r="D5">
            <v>3331600</v>
          </cell>
        </row>
        <row r="6">
          <cell r="D6">
            <v>2732750</v>
          </cell>
        </row>
        <row r="7">
          <cell r="D7">
            <v>2268000</v>
          </cell>
        </row>
        <row r="9">
          <cell r="D9">
            <v>500000</v>
          </cell>
        </row>
        <row r="10">
          <cell r="D10">
            <v>156000</v>
          </cell>
        </row>
        <row r="11">
          <cell r="D11">
            <v>216300</v>
          </cell>
        </row>
        <row r="12">
          <cell r="D12">
            <v>2142360.0000000005</v>
          </cell>
        </row>
        <row r="13">
          <cell r="D13">
            <v>249500</v>
          </cell>
        </row>
        <row r="14">
          <cell r="D14">
            <v>100000</v>
          </cell>
        </row>
        <row r="15">
          <cell r="D15">
            <v>364900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tudieår"/>
      <sheetName val="2. studieår"/>
      <sheetName val="3. studieår"/>
      <sheetName val="4. studieår"/>
      <sheetName val="Valgemner"/>
      <sheetName val="Diverse"/>
      <sheetName val="Oppsummering "/>
      <sheetName val="Buddyarket"/>
      <sheetName val="HUMR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H3">
            <v>4097.2380952380954</v>
          </cell>
        </row>
        <row r="4">
          <cell r="H4">
            <v>1775.5857142857144</v>
          </cell>
        </row>
        <row r="5">
          <cell r="H5">
            <v>1570.4761904761904</v>
          </cell>
        </row>
        <row r="6">
          <cell r="H6">
            <v>1321.3095238095239</v>
          </cell>
        </row>
        <row r="7">
          <cell r="H7">
            <v>1480</v>
          </cell>
        </row>
      </sheetData>
      <sheetData sheetId="7"/>
      <sheetData sheetId="8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BD3B44B-EE37-4BDD-A1F2-6DF9953156B5}" diskRevisions="1" revisionId="8" version="2">
  <header guid="{266BC97A-1423-42B7-951D-0A99E04EEF66}" dateTime="2020-10-19T14:15:03" maxSheetId="10" userName="Trond Skjeie" r:id="rId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ABD3B44B-EE37-4BDD-A1F2-6DF9953156B5}" dateTime="2020-10-19T14:32:32" maxSheetId="10" userName="Anne Margit Tvenge" r:id="rId2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4055508_3439_4A0A_A803_01A23ABF8DBD_.wvu.Rows" hidden="1" oldHidden="1">
    <formula>'1. studieår'!$25:$25</formula>
  </rdn>
  <rdn rId="0" localSheetId="1" customView="1" name="Z_54055508_3439_4A0A_A803_01A23ABF8DBD_.wvu.Cols" hidden="1" oldHidden="1">
    <formula>'1. studieår'!$F:$G,'1. studieår'!$J:$J,'1. studieår'!$M:$M,'1. studieår'!$P:$Q,'1. studieår'!$AM:$AN</formula>
  </rdn>
  <rdn rId="0" localSheetId="2" customView="1" name="Z_54055508_3439_4A0A_A803_01A23ABF8DBD_.wvu.Cols" hidden="1" oldHidden="1">
    <formula>'2. studieår'!$F:$F,'2. studieår'!$H:$H</formula>
  </rdn>
  <rdn rId="0" localSheetId="3" customView="1" name="Z_54055508_3439_4A0A_A803_01A23ABF8DBD_.wvu.Cols" hidden="1" oldHidden="1">
    <formula>'3. studieår'!$F:$G</formula>
  </rdn>
  <rdn rId="0" localSheetId="4" customView="1" name="Z_54055508_3439_4A0A_A803_01A23ABF8DBD_.wvu.Cols" hidden="1" oldHidden="1">
    <formula>'4. studieår'!$K:$M</formula>
  </rdn>
  <rdn rId="0" localSheetId="5" customView="1" name="Z_54055508_3439_4A0A_A803_01A23ABF8DBD_.wvu.Cols" hidden="1" oldHidden="1">
    <formula>Valgemner!$K:$K</formula>
  </rdn>
  <rdn rId="0" localSheetId="8" customView="1" name="Z_54055508_3439_4A0A_A803_01A23ABF8DBD_.wvu.PrintArea" hidden="1" oldHidden="1">
    <formula>Buddyarket!$A$1:$O$25</formula>
  </rdn>
  <rdn rId="0" localSheetId="8" customView="1" name="Z_54055508_3439_4A0A_A803_01A23ABF8DBD_.wvu.FilterData" hidden="1" oldHidden="1">
    <formula>Buddyarket!$A$3:$R$35</formula>
  </rdn>
  <rcv guid="{54055508-3439-4A0A-A803-01A23ABF8DB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13" Type="http://schemas.openxmlformats.org/officeDocument/2006/relationships/printerSettings" Target="../printerSettings/printerSettings37.bin"/><Relationship Id="rId1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27.bin"/><Relationship Id="rId21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1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26.bin"/><Relationship Id="rId16" Type="http://schemas.openxmlformats.org/officeDocument/2006/relationships/printerSettings" Target="../printerSettings/printerSettings40.bin"/><Relationship Id="rId20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24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29.bin"/><Relationship Id="rId15" Type="http://schemas.openxmlformats.org/officeDocument/2006/relationships/printerSettings" Target="../printerSettings/printerSettings39.bin"/><Relationship Id="rId23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34.bin"/><Relationship Id="rId19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Relationship Id="rId14" Type="http://schemas.openxmlformats.org/officeDocument/2006/relationships/printerSettings" Target="../printerSettings/printerSettings38.bin"/><Relationship Id="rId22" Type="http://schemas.openxmlformats.org/officeDocument/2006/relationships/printerSettings" Target="../printerSettings/printerSettings4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13" Type="http://schemas.openxmlformats.org/officeDocument/2006/relationships/printerSettings" Target="../printerSettings/printerSettings61.bin"/><Relationship Id="rId18" Type="http://schemas.openxmlformats.org/officeDocument/2006/relationships/printerSettings" Target="../printerSettings/printerSettings66.bin"/><Relationship Id="rId3" Type="http://schemas.openxmlformats.org/officeDocument/2006/relationships/printerSettings" Target="../printerSettings/printerSettings51.bin"/><Relationship Id="rId21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17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50.bin"/><Relationship Id="rId16" Type="http://schemas.openxmlformats.org/officeDocument/2006/relationships/printerSettings" Target="../printerSettings/printerSettings64.bin"/><Relationship Id="rId20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24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53.bin"/><Relationship Id="rId15" Type="http://schemas.openxmlformats.org/officeDocument/2006/relationships/printerSettings" Target="../printerSettings/printerSettings63.bin"/><Relationship Id="rId23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58.bin"/><Relationship Id="rId19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Relationship Id="rId14" Type="http://schemas.openxmlformats.org/officeDocument/2006/relationships/printerSettings" Target="../printerSettings/printerSettings62.bin"/><Relationship Id="rId22" Type="http://schemas.openxmlformats.org/officeDocument/2006/relationships/printerSettings" Target="../printerSettings/printerSettings7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18" Type="http://schemas.openxmlformats.org/officeDocument/2006/relationships/printerSettings" Target="../printerSettings/printerSettings90.bin"/><Relationship Id="rId26" Type="http://schemas.openxmlformats.org/officeDocument/2006/relationships/comments" Target="../comments2.xml"/><Relationship Id="rId3" Type="http://schemas.openxmlformats.org/officeDocument/2006/relationships/printerSettings" Target="../printerSettings/printerSettings75.bin"/><Relationship Id="rId21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17" Type="http://schemas.openxmlformats.org/officeDocument/2006/relationships/printerSettings" Target="../printerSettings/printerSettings89.bin"/><Relationship Id="rId25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74.bin"/><Relationship Id="rId16" Type="http://schemas.openxmlformats.org/officeDocument/2006/relationships/printerSettings" Target="../printerSettings/printerSettings88.bin"/><Relationship Id="rId20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24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77.bin"/><Relationship Id="rId15" Type="http://schemas.openxmlformats.org/officeDocument/2006/relationships/printerSettings" Target="../printerSettings/printerSettings87.bin"/><Relationship Id="rId23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82.bin"/><Relationship Id="rId19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printerSettings" Target="../printerSettings/printerSettings86.bin"/><Relationship Id="rId22" Type="http://schemas.openxmlformats.org/officeDocument/2006/relationships/printerSettings" Target="../printerSettings/printerSettings9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13" Type="http://schemas.openxmlformats.org/officeDocument/2006/relationships/printerSettings" Target="../printerSettings/printerSettings109.bin"/><Relationship Id="rId18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99.bin"/><Relationship Id="rId21" Type="http://schemas.openxmlformats.org/officeDocument/2006/relationships/printerSettings" Target="../printerSettings/printerSettings117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17" Type="http://schemas.openxmlformats.org/officeDocument/2006/relationships/printerSettings" Target="../printerSettings/printerSettings113.bin"/><Relationship Id="rId25" Type="http://schemas.openxmlformats.org/officeDocument/2006/relationships/comments" Target="../comments3.xml"/><Relationship Id="rId2" Type="http://schemas.openxmlformats.org/officeDocument/2006/relationships/printerSettings" Target="../printerSettings/printerSettings98.bin"/><Relationship Id="rId16" Type="http://schemas.openxmlformats.org/officeDocument/2006/relationships/printerSettings" Target="../printerSettings/printerSettings112.bin"/><Relationship Id="rId20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24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101.bin"/><Relationship Id="rId15" Type="http://schemas.openxmlformats.org/officeDocument/2006/relationships/printerSettings" Target="../printerSettings/printerSettings111.bin"/><Relationship Id="rId23" Type="http://schemas.openxmlformats.org/officeDocument/2006/relationships/printerSettings" Target="../printerSettings/printerSettings119.bin"/><Relationship Id="rId10" Type="http://schemas.openxmlformats.org/officeDocument/2006/relationships/printerSettings" Target="../printerSettings/printerSettings106.bin"/><Relationship Id="rId19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Relationship Id="rId14" Type="http://schemas.openxmlformats.org/officeDocument/2006/relationships/printerSettings" Target="../printerSettings/printerSettings110.bin"/><Relationship Id="rId22" Type="http://schemas.openxmlformats.org/officeDocument/2006/relationships/printerSettings" Target="../printerSettings/printerSettings11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7.bin"/><Relationship Id="rId13" Type="http://schemas.openxmlformats.org/officeDocument/2006/relationships/printerSettings" Target="../printerSettings/printerSettings132.bin"/><Relationship Id="rId18" Type="http://schemas.openxmlformats.org/officeDocument/2006/relationships/printerSettings" Target="../printerSettings/printerSettings137.bin"/><Relationship Id="rId3" Type="http://schemas.openxmlformats.org/officeDocument/2006/relationships/printerSettings" Target="../printerSettings/printerSettings122.bin"/><Relationship Id="rId21" Type="http://schemas.openxmlformats.org/officeDocument/2006/relationships/printerSettings" Target="../printerSettings/printerSettings140.bin"/><Relationship Id="rId7" Type="http://schemas.openxmlformats.org/officeDocument/2006/relationships/printerSettings" Target="../printerSettings/printerSettings126.bin"/><Relationship Id="rId12" Type="http://schemas.openxmlformats.org/officeDocument/2006/relationships/printerSettings" Target="../printerSettings/printerSettings131.bin"/><Relationship Id="rId17" Type="http://schemas.openxmlformats.org/officeDocument/2006/relationships/printerSettings" Target="../printerSettings/printerSettings136.bin"/><Relationship Id="rId2" Type="http://schemas.openxmlformats.org/officeDocument/2006/relationships/printerSettings" Target="../printerSettings/printerSettings121.bin"/><Relationship Id="rId16" Type="http://schemas.openxmlformats.org/officeDocument/2006/relationships/printerSettings" Target="../printerSettings/printerSettings135.bin"/><Relationship Id="rId20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120.bin"/><Relationship Id="rId6" Type="http://schemas.openxmlformats.org/officeDocument/2006/relationships/printerSettings" Target="../printerSettings/printerSettings125.bin"/><Relationship Id="rId11" Type="http://schemas.openxmlformats.org/officeDocument/2006/relationships/printerSettings" Target="../printerSettings/printerSettings130.bin"/><Relationship Id="rId5" Type="http://schemas.openxmlformats.org/officeDocument/2006/relationships/printerSettings" Target="../printerSettings/printerSettings124.bin"/><Relationship Id="rId15" Type="http://schemas.openxmlformats.org/officeDocument/2006/relationships/printerSettings" Target="../printerSettings/printerSettings134.bin"/><Relationship Id="rId23" Type="http://schemas.openxmlformats.org/officeDocument/2006/relationships/printerSettings" Target="../printerSettings/printerSettings142.bin"/><Relationship Id="rId10" Type="http://schemas.openxmlformats.org/officeDocument/2006/relationships/printerSettings" Target="../printerSettings/printerSettings129.bin"/><Relationship Id="rId19" Type="http://schemas.openxmlformats.org/officeDocument/2006/relationships/printerSettings" Target="../printerSettings/printerSettings138.bin"/><Relationship Id="rId4" Type="http://schemas.openxmlformats.org/officeDocument/2006/relationships/printerSettings" Target="../printerSettings/printerSettings123.bin"/><Relationship Id="rId9" Type="http://schemas.openxmlformats.org/officeDocument/2006/relationships/printerSettings" Target="../printerSettings/printerSettings128.bin"/><Relationship Id="rId14" Type="http://schemas.openxmlformats.org/officeDocument/2006/relationships/printerSettings" Target="../printerSettings/printerSettings133.bin"/><Relationship Id="rId22" Type="http://schemas.openxmlformats.org/officeDocument/2006/relationships/printerSettings" Target="../printerSettings/printerSettings14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0.bin"/><Relationship Id="rId13" Type="http://schemas.openxmlformats.org/officeDocument/2006/relationships/printerSettings" Target="../printerSettings/printerSettings155.bin"/><Relationship Id="rId18" Type="http://schemas.openxmlformats.org/officeDocument/2006/relationships/printerSettings" Target="../printerSettings/printerSettings160.bin"/><Relationship Id="rId3" Type="http://schemas.openxmlformats.org/officeDocument/2006/relationships/printerSettings" Target="../printerSettings/printerSettings145.bin"/><Relationship Id="rId21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49.bin"/><Relationship Id="rId12" Type="http://schemas.openxmlformats.org/officeDocument/2006/relationships/printerSettings" Target="../printerSettings/printerSettings154.bin"/><Relationship Id="rId17" Type="http://schemas.openxmlformats.org/officeDocument/2006/relationships/printerSettings" Target="../printerSettings/printerSettings159.bin"/><Relationship Id="rId25" Type="http://schemas.openxmlformats.org/officeDocument/2006/relationships/drawing" Target="../drawings/drawing1.xml"/><Relationship Id="rId2" Type="http://schemas.openxmlformats.org/officeDocument/2006/relationships/printerSettings" Target="../printerSettings/printerSettings144.bin"/><Relationship Id="rId16" Type="http://schemas.openxmlformats.org/officeDocument/2006/relationships/printerSettings" Target="../printerSettings/printerSettings158.bin"/><Relationship Id="rId20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43.bin"/><Relationship Id="rId6" Type="http://schemas.openxmlformats.org/officeDocument/2006/relationships/printerSettings" Target="../printerSettings/printerSettings148.bin"/><Relationship Id="rId11" Type="http://schemas.openxmlformats.org/officeDocument/2006/relationships/printerSettings" Target="../printerSettings/printerSettings153.bin"/><Relationship Id="rId24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47.bin"/><Relationship Id="rId15" Type="http://schemas.openxmlformats.org/officeDocument/2006/relationships/printerSettings" Target="../printerSettings/printerSettings157.bin"/><Relationship Id="rId23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52.bin"/><Relationship Id="rId19" Type="http://schemas.openxmlformats.org/officeDocument/2006/relationships/printerSettings" Target="../printerSettings/printerSettings161.bin"/><Relationship Id="rId4" Type="http://schemas.openxmlformats.org/officeDocument/2006/relationships/printerSettings" Target="../printerSettings/printerSettings146.bin"/><Relationship Id="rId9" Type="http://schemas.openxmlformats.org/officeDocument/2006/relationships/printerSettings" Target="../printerSettings/printerSettings151.bin"/><Relationship Id="rId14" Type="http://schemas.openxmlformats.org/officeDocument/2006/relationships/printerSettings" Target="../printerSettings/printerSettings156.bin"/><Relationship Id="rId22" Type="http://schemas.openxmlformats.org/officeDocument/2006/relationships/printerSettings" Target="../printerSettings/printerSettings16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4.bin"/><Relationship Id="rId13" Type="http://schemas.openxmlformats.org/officeDocument/2006/relationships/printerSettings" Target="../printerSettings/printerSettings179.bin"/><Relationship Id="rId18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69.bin"/><Relationship Id="rId21" Type="http://schemas.openxmlformats.org/officeDocument/2006/relationships/printerSettings" Target="../printerSettings/printerSettings187.bin"/><Relationship Id="rId7" Type="http://schemas.openxmlformats.org/officeDocument/2006/relationships/printerSettings" Target="../printerSettings/printerSettings173.bin"/><Relationship Id="rId12" Type="http://schemas.openxmlformats.org/officeDocument/2006/relationships/printerSettings" Target="../printerSettings/printerSettings178.bin"/><Relationship Id="rId17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68.bin"/><Relationship Id="rId16" Type="http://schemas.openxmlformats.org/officeDocument/2006/relationships/printerSettings" Target="../printerSettings/printerSettings182.bin"/><Relationship Id="rId20" Type="http://schemas.openxmlformats.org/officeDocument/2006/relationships/printerSettings" Target="../printerSettings/printerSettings186.bin"/><Relationship Id="rId1" Type="http://schemas.openxmlformats.org/officeDocument/2006/relationships/printerSettings" Target="../printerSettings/printerSettings167.bin"/><Relationship Id="rId6" Type="http://schemas.openxmlformats.org/officeDocument/2006/relationships/printerSettings" Target="../printerSettings/printerSettings172.bin"/><Relationship Id="rId11" Type="http://schemas.openxmlformats.org/officeDocument/2006/relationships/printerSettings" Target="../printerSettings/printerSettings177.bin"/><Relationship Id="rId24" Type="http://schemas.openxmlformats.org/officeDocument/2006/relationships/printerSettings" Target="../printerSettings/printerSettings190.bin"/><Relationship Id="rId5" Type="http://schemas.openxmlformats.org/officeDocument/2006/relationships/printerSettings" Target="../printerSettings/printerSettings171.bin"/><Relationship Id="rId15" Type="http://schemas.openxmlformats.org/officeDocument/2006/relationships/printerSettings" Target="../printerSettings/printerSettings181.bin"/><Relationship Id="rId23" Type="http://schemas.openxmlformats.org/officeDocument/2006/relationships/printerSettings" Target="../printerSettings/printerSettings189.bin"/><Relationship Id="rId10" Type="http://schemas.openxmlformats.org/officeDocument/2006/relationships/printerSettings" Target="../printerSettings/printerSettings176.bin"/><Relationship Id="rId19" Type="http://schemas.openxmlformats.org/officeDocument/2006/relationships/printerSettings" Target="../printerSettings/printerSettings185.bin"/><Relationship Id="rId4" Type="http://schemas.openxmlformats.org/officeDocument/2006/relationships/printerSettings" Target="../printerSettings/printerSettings170.bin"/><Relationship Id="rId9" Type="http://schemas.openxmlformats.org/officeDocument/2006/relationships/printerSettings" Target="../printerSettings/printerSettings175.bin"/><Relationship Id="rId14" Type="http://schemas.openxmlformats.org/officeDocument/2006/relationships/printerSettings" Target="../printerSettings/printerSettings180.bin"/><Relationship Id="rId22" Type="http://schemas.openxmlformats.org/officeDocument/2006/relationships/printerSettings" Target="../printerSettings/printerSettings18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N40"/>
  <sheetViews>
    <sheetView tabSelected="1" zoomScaleNormal="100" workbookViewId="0">
      <pane xSplit="1" topLeftCell="D1" activePane="topRight" state="frozen"/>
      <selection activeCell="A13" sqref="A13"/>
      <selection pane="topRight" activeCell="Y23" sqref="Y23"/>
    </sheetView>
  </sheetViews>
  <sheetFormatPr defaultColWidth="11.42578125" defaultRowHeight="15" x14ac:dyDescent="0.25"/>
  <cols>
    <col min="1" max="1" width="33.85546875" customWidth="1"/>
    <col min="2" max="2" width="7" customWidth="1"/>
    <col min="3" max="3" width="11.140625" customWidth="1"/>
    <col min="4" max="4" width="10.42578125" customWidth="1"/>
    <col min="5" max="5" width="11" customWidth="1"/>
    <col min="6" max="6" width="8.42578125" hidden="1" customWidth="1"/>
    <col min="7" max="7" width="9.85546875" hidden="1" customWidth="1"/>
    <col min="8" max="8" width="12.42578125" customWidth="1"/>
    <col min="9" max="9" width="10.5703125" customWidth="1"/>
    <col min="10" max="10" width="11.42578125" hidden="1" customWidth="1"/>
    <col min="11" max="11" width="10.7109375" customWidth="1"/>
    <col min="12" max="12" width="9.85546875" customWidth="1"/>
    <col min="13" max="13" width="8.85546875" hidden="1" customWidth="1"/>
    <col min="14" max="15" width="8.85546875" customWidth="1"/>
    <col min="16" max="17" width="8.140625" hidden="1" customWidth="1"/>
    <col min="18" max="18" width="8.140625" customWidth="1"/>
    <col min="19" max="19" width="10.5703125" customWidth="1"/>
    <col min="20" max="20" width="9.42578125" customWidth="1"/>
    <col min="21" max="21" width="11.85546875" style="5" customWidth="1"/>
    <col min="22" max="22" width="13.140625" style="5" customWidth="1"/>
    <col min="23" max="23" width="12.85546875" style="5" customWidth="1"/>
    <col min="24" max="24" width="14.85546875" style="5" customWidth="1"/>
    <col min="25" max="25" width="11.85546875" style="5" customWidth="1"/>
    <col min="26" max="26" width="10.5703125" style="5" customWidth="1"/>
    <col min="27" max="31" width="11.85546875" style="5" customWidth="1"/>
    <col min="32" max="33" width="13.42578125" customWidth="1"/>
    <col min="34" max="34" width="12.42578125" customWidth="1"/>
    <col min="35" max="36" width="9.5703125" customWidth="1"/>
    <col min="37" max="38" width="9.140625" customWidth="1"/>
    <col min="39" max="40" width="9.140625" hidden="1" customWidth="1"/>
    <col min="41" max="261" width="9.140625" customWidth="1"/>
  </cols>
  <sheetData>
    <row r="1" spans="1:40" ht="23.25" x14ac:dyDescent="0.35">
      <c r="A1" s="337" t="s">
        <v>96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2"/>
      <c r="W1" s="332"/>
      <c r="X1" s="332"/>
      <c r="Y1" s="110"/>
      <c r="Z1" s="110"/>
      <c r="AA1" s="110"/>
      <c r="AB1" s="110"/>
      <c r="AC1" s="110"/>
      <c r="AD1" s="110"/>
      <c r="AE1" s="148"/>
    </row>
    <row r="3" spans="1:40" ht="60.75" thickBot="1" x14ac:dyDescent="0.3">
      <c r="A3" s="191" t="s">
        <v>5</v>
      </c>
      <c r="B3" s="192"/>
      <c r="C3" s="192"/>
      <c r="D3" s="293">
        <v>260</v>
      </c>
      <c r="E3" s="90"/>
      <c r="H3" s="193" t="s">
        <v>9</v>
      </c>
      <c r="I3" s="320">
        <v>2100</v>
      </c>
      <c r="J3" s="194"/>
      <c r="K3" s="193" t="s">
        <v>46</v>
      </c>
      <c r="L3" s="321">
        <f>335.8*1.28</f>
        <v>429.82400000000001</v>
      </c>
      <c r="M3" s="257"/>
      <c r="T3" s="338" t="s">
        <v>98</v>
      </c>
      <c r="U3" s="338"/>
      <c r="V3" s="338"/>
      <c r="W3" s="338"/>
      <c r="X3" s="338"/>
      <c r="Y3" s="338"/>
      <c r="Z3" s="113"/>
      <c r="AA3" s="113"/>
      <c r="AB3" s="113"/>
      <c r="AC3" s="113"/>
      <c r="AD3" s="113"/>
      <c r="AE3" s="113"/>
      <c r="AF3" s="113"/>
      <c r="AI3" s="342"/>
      <c r="AJ3" s="343"/>
      <c r="AK3" s="343"/>
      <c r="AL3" s="343"/>
      <c r="AM3" s="343"/>
      <c r="AN3" s="344"/>
    </row>
    <row r="4" spans="1:40" ht="30" x14ac:dyDescent="0.25">
      <c r="A4" s="16" t="s">
        <v>6</v>
      </c>
      <c r="B4" s="84"/>
      <c r="C4" s="84"/>
      <c r="D4" s="162">
        <v>2400</v>
      </c>
      <c r="E4" s="90"/>
      <c r="H4" s="193" t="s">
        <v>10</v>
      </c>
      <c r="I4" s="320">
        <v>340</v>
      </c>
      <c r="J4" s="194"/>
      <c r="K4" s="193" t="s">
        <v>355</v>
      </c>
      <c r="L4" s="320"/>
      <c r="M4" s="90"/>
      <c r="N4" s="90"/>
      <c r="O4" s="90"/>
      <c r="P4" s="90"/>
      <c r="U4"/>
      <c r="V4"/>
      <c r="W4"/>
      <c r="X4"/>
      <c r="AF4" s="5"/>
      <c r="AI4" s="334" t="s">
        <v>127</v>
      </c>
      <c r="AJ4" s="335"/>
      <c r="AK4" s="335"/>
      <c r="AL4" s="335"/>
      <c r="AM4" s="335"/>
      <c r="AN4" s="336"/>
    </row>
    <row r="5" spans="1:40" ht="18.75" x14ac:dyDescent="0.3">
      <c r="A5" s="195" t="s">
        <v>101</v>
      </c>
      <c r="B5" s="196">
        <v>24</v>
      </c>
      <c r="C5" s="85"/>
      <c r="D5" s="86"/>
      <c r="E5" s="90"/>
      <c r="F5" s="57"/>
      <c r="G5" s="61"/>
      <c r="H5" s="61"/>
      <c r="I5" s="57"/>
      <c r="J5" s="90"/>
      <c r="K5" s="90"/>
      <c r="L5" s="90"/>
      <c r="M5" s="90"/>
      <c r="N5" s="90"/>
      <c r="O5" s="90"/>
      <c r="AH5" s="101" t="s">
        <v>116</v>
      </c>
      <c r="AI5" s="98" t="s">
        <v>110</v>
      </c>
      <c r="AJ5" s="98"/>
      <c r="AK5" s="98" t="s">
        <v>111</v>
      </c>
      <c r="AL5" s="98" t="s">
        <v>113</v>
      </c>
      <c r="AM5" s="102" t="s">
        <v>112</v>
      </c>
    </row>
    <row r="6" spans="1:40" ht="27.75" customHeight="1" x14ac:dyDescent="0.25">
      <c r="D6" s="345" t="s">
        <v>103</v>
      </c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7"/>
      <c r="AH6" s="107"/>
      <c r="AI6" s="99"/>
      <c r="AJ6" s="99"/>
      <c r="AK6" s="99"/>
      <c r="AL6" s="99">
        <v>1</v>
      </c>
      <c r="AM6" s="108"/>
    </row>
    <row r="7" spans="1:40" ht="27.75" customHeight="1" x14ac:dyDescent="0.25">
      <c r="D7" s="348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50"/>
      <c r="AH7" s="333" t="s">
        <v>114</v>
      </c>
      <c r="AI7" s="333"/>
      <c r="AJ7" s="333"/>
      <c r="AK7" s="333"/>
      <c r="AL7" s="333"/>
      <c r="AM7" s="333"/>
      <c r="AN7" s="333"/>
    </row>
    <row r="8" spans="1:40" s="30" customFormat="1" ht="78" customHeight="1" x14ac:dyDescent="0.25">
      <c r="A8" s="75" t="s">
        <v>1</v>
      </c>
      <c r="B8" s="76" t="s">
        <v>217</v>
      </c>
      <c r="C8" s="76" t="s">
        <v>102</v>
      </c>
      <c r="D8" s="77" t="s">
        <v>229</v>
      </c>
      <c r="E8" s="77" t="s">
        <v>230</v>
      </c>
      <c r="F8" s="77" t="s">
        <v>223</v>
      </c>
      <c r="G8" s="77" t="s">
        <v>11</v>
      </c>
      <c r="H8" s="77" t="s">
        <v>3</v>
      </c>
      <c r="I8" s="77" t="s">
        <v>4</v>
      </c>
      <c r="J8" s="77" t="s">
        <v>219</v>
      </c>
      <c r="K8" s="73" t="s">
        <v>294</v>
      </c>
      <c r="L8" s="73" t="s">
        <v>295</v>
      </c>
      <c r="M8" s="73" t="s">
        <v>296</v>
      </c>
      <c r="N8" s="73" t="s">
        <v>298</v>
      </c>
      <c r="O8" s="77" t="s">
        <v>297</v>
      </c>
      <c r="P8" s="77" t="s">
        <v>130</v>
      </c>
      <c r="Q8" s="77" t="s">
        <v>131</v>
      </c>
      <c r="R8" s="73" t="s">
        <v>120</v>
      </c>
      <c r="S8" s="73" t="s">
        <v>121</v>
      </c>
      <c r="T8" s="73" t="s">
        <v>108</v>
      </c>
      <c r="U8" s="73" t="s">
        <v>231</v>
      </c>
      <c r="V8" s="73" t="s">
        <v>376</v>
      </c>
      <c r="W8" s="73" t="s">
        <v>377</v>
      </c>
      <c r="X8" s="79" t="s">
        <v>378</v>
      </c>
      <c r="Y8" s="73" t="s">
        <v>232</v>
      </c>
      <c r="Z8" s="73" t="s">
        <v>233</v>
      </c>
      <c r="AA8" s="79" t="s">
        <v>128</v>
      </c>
      <c r="AB8" s="79" t="s">
        <v>234</v>
      </c>
      <c r="AC8" s="79" t="s">
        <v>235</v>
      </c>
      <c r="AD8" s="79" t="s">
        <v>129</v>
      </c>
      <c r="AE8" s="79" t="s">
        <v>221</v>
      </c>
      <c r="AF8" s="79" t="s">
        <v>222</v>
      </c>
      <c r="AG8" s="112"/>
      <c r="AH8" s="109" t="s">
        <v>75</v>
      </c>
      <c r="AI8" s="351" t="s">
        <v>76</v>
      </c>
      <c r="AJ8" s="351"/>
      <c r="AK8" s="109" t="s">
        <v>77</v>
      </c>
      <c r="AL8" s="109" t="s">
        <v>78</v>
      </c>
      <c r="AM8" s="351">
        <v>620215</v>
      </c>
      <c r="AN8" s="351"/>
    </row>
    <row r="9" spans="1:40" s="30" customFormat="1" ht="78" customHeight="1" x14ac:dyDescent="0.25">
      <c r="A9" s="1" t="s">
        <v>0</v>
      </c>
      <c r="B9" s="64"/>
      <c r="C9" s="6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3"/>
      <c r="S9" s="3"/>
      <c r="T9" s="3"/>
      <c r="U9" s="23">
        <f>S9*$I$3*3.75/5</f>
        <v>0</v>
      </c>
      <c r="V9" s="276"/>
      <c r="W9" s="276"/>
      <c r="X9" s="23"/>
      <c r="Y9" s="276">
        <f>D3*I4*4</f>
        <v>353600</v>
      </c>
      <c r="Z9" s="276"/>
      <c r="AA9" s="3"/>
      <c r="AB9" s="276"/>
      <c r="AC9" s="276"/>
      <c r="AD9" s="3"/>
      <c r="AE9" s="3"/>
      <c r="AF9" s="1"/>
      <c r="AH9" s="302" t="s">
        <v>305</v>
      </c>
      <c r="AI9" s="118" t="s">
        <v>115</v>
      </c>
      <c r="AJ9" s="302" t="s">
        <v>125</v>
      </c>
      <c r="AK9" s="119"/>
      <c r="AL9" s="119"/>
      <c r="AM9" s="118" t="s">
        <v>115</v>
      </c>
      <c r="AN9" s="122" t="s">
        <v>309</v>
      </c>
    </row>
    <row r="10" spans="1:40" x14ac:dyDescent="0.25">
      <c r="A10" s="120" t="s">
        <v>38</v>
      </c>
      <c r="B10" s="63"/>
      <c r="C10" s="6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"/>
      <c r="S10" s="3"/>
      <c r="T10" s="3"/>
      <c r="U10" s="23">
        <f>S10*$I$3</f>
        <v>0</v>
      </c>
      <c r="V10" s="276"/>
      <c r="W10" s="276"/>
      <c r="X10" s="23"/>
      <c r="Y10" s="276"/>
      <c r="Z10" s="276"/>
      <c r="AA10" s="3"/>
      <c r="AB10" s="276"/>
      <c r="AC10" s="276"/>
      <c r="AD10" s="3"/>
      <c r="AE10" s="3"/>
      <c r="AF10" s="1"/>
      <c r="AH10" s="285"/>
      <c r="AI10" s="58">
        <f>IF(AJ10&gt;0,T10*(L10+O10)/(K10+N10),0)</f>
        <v>0</v>
      </c>
      <c r="AJ10" s="258">
        <f>SUM(O10,L10)</f>
        <v>0</v>
      </c>
      <c r="AK10" s="1"/>
      <c r="AL10" s="1"/>
      <c r="AM10" s="1"/>
      <c r="AN10" s="1"/>
    </row>
    <row r="11" spans="1:40" x14ac:dyDescent="0.25">
      <c r="A11" s="2" t="s">
        <v>47</v>
      </c>
      <c r="B11" s="63">
        <f>SUM(B12:B14)</f>
        <v>20</v>
      </c>
      <c r="C11" s="63">
        <f>B11*$B$5*2</f>
        <v>960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120"/>
      <c r="O11" s="120"/>
      <c r="P11" s="8"/>
      <c r="Q11" s="8"/>
      <c r="R11" s="3"/>
      <c r="S11" s="3"/>
      <c r="T11" s="3"/>
      <c r="U11" s="23"/>
      <c r="V11" s="276"/>
      <c r="W11" s="276"/>
      <c r="X11" s="23"/>
      <c r="Y11" s="276"/>
      <c r="Z11" s="276"/>
      <c r="AA11" s="3"/>
      <c r="AB11" s="276"/>
      <c r="AC11" s="276"/>
      <c r="AD11" s="3"/>
      <c r="AE11" s="3"/>
      <c r="AF11" s="1"/>
      <c r="AH11" s="285"/>
      <c r="AI11" s="58"/>
      <c r="AJ11" s="258"/>
      <c r="AK11" s="1"/>
      <c r="AL11" s="1"/>
      <c r="AM11" s="1"/>
      <c r="AN11" s="1"/>
    </row>
    <row r="12" spans="1:40" x14ac:dyDescent="0.25">
      <c r="A12" s="1" t="s">
        <v>19</v>
      </c>
      <c r="B12" s="64">
        <v>1</v>
      </c>
      <c r="C12" s="64">
        <f>B12*$B$5*2</f>
        <v>48</v>
      </c>
      <c r="D12" s="275">
        <v>3</v>
      </c>
      <c r="E12" s="275">
        <v>10</v>
      </c>
      <c r="F12" s="275"/>
      <c r="G12" s="275"/>
      <c r="H12" s="276">
        <v>12</v>
      </c>
      <c r="I12" s="276">
        <v>15</v>
      </c>
      <c r="J12" s="276"/>
      <c r="K12" s="275">
        <v>18</v>
      </c>
      <c r="L12" s="275">
        <v>0</v>
      </c>
      <c r="M12" s="276">
        <f>+IF(F12&gt;0,$D$3/I12,0)</f>
        <v>0</v>
      </c>
      <c r="N12" s="276">
        <v>18</v>
      </c>
      <c r="O12" s="276">
        <v>0</v>
      </c>
      <c r="P12" s="276"/>
      <c r="Q12" s="276"/>
      <c r="R12" s="3">
        <f>D12+(E12*K12)</f>
        <v>183</v>
      </c>
      <c r="S12" s="3">
        <f>D12+(E12*N12)</f>
        <v>183</v>
      </c>
      <c r="T12" s="3">
        <f>R12+S12</f>
        <v>366</v>
      </c>
      <c r="U12" s="23">
        <f>T12*$I$3</f>
        <v>768600</v>
      </c>
      <c r="V12" s="276"/>
      <c r="W12" s="276"/>
      <c r="X12" s="23"/>
      <c r="Y12" s="276"/>
      <c r="Z12" s="276"/>
      <c r="AA12" s="3">
        <f>(Y12+Z12)*$I$4*$D$3*0.5</f>
        <v>0</v>
      </c>
      <c r="AB12" s="276"/>
      <c r="AC12" s="276"/>
      <c r="AD12" s="3">
        <f>(AB12+AC12)*$I$4*$D$3*0.5</f>
        <v>0</v>
      </c>
      <c r="AE12" s="3">
        <f t="shared" ref="AE12:AE26" si="0">T12+(AA12+AD12)/$I$3</f>
        <v>366</v>
      </c>
      <c r="AF12" s="1"/>
      <c r="AH12" s="285"/>
      <c r="AI12" s="58">
        <f>IF(AJ12&gt;0,T12*(L12+O12)/(K12+N12),0)</f>
        <v>0</v>
      </c>
      <c r="AJ12" s="258">
        <f>SUM(O12,L12)</f>
        <v>0</v>
      </c>
      <c r="AK12" s="1"/>
      <c r="AL12" s="1"/>
      <c r="AM12" s="1"/>
      <c r="AN12" s="1"/>
    </row>
    <row r="13" spans="1:40" x14ac:dyDescent="0.25">
      <c r="A13" s="1" t="s">
        <v>18</v>
      </c>
      <c r="B13" s="64">
        <v>10</v>
      </c>
      <c r="C13" s="63">
        <f>B13*$B$5*2</f>
        <v>480</v>
      </c>
      <c r="D13" s="275">
        <v>18</v>
      </c>
      <c r="E13" s="275">
        <v>34</v>
      </c>
      <c r="F13" s="275"/>
      <c r="G13" s="275"/>
      <c r="H13" s="276">
        <v>35</v>
      </c>
      <c r="I13" s="276">
        <v>15</v>
      </c>
      <c r="J13" s="276"/>
      <c r="K13" s="275">
        <v>6</v>
      </c>
      <c r="L13" s="275">
        <v>1</v>
      </c>
      <c r="M13" s="276">
        <f>+IF(F13&gt;0,$D$3/I13,0)</f>
        <v>0</v>
      </c>
      <c r="N13" s="276">
        <v>6</v>
      </c>
      <c r="O13" s="276">
        <v>1</v>
      </c>
      <c r="P13" s="276"/>
      <c r="Q13" s="276"/>
      <c r="R13" s="3">
        <f>D13+(E13*K13)</f>
        <v>222</v>
      </c>
      <c r="S13" s="3">
        <f>D13+(E13*N13)</f>
        <v>222</v>
      </c>
      <c r="T13" s="3">
        <f>R13+S13</f>
        <v>444</v>
      </c>
      <c r="U13" s="23">
        <f>T13*$I$3</f>
        <v>932400</v>
      </c>
      <c r="V13" s="276">
        <v>1</v>
      </c>
      <c r="W13" s="276">
        <v>1</v>
      </c>
      <c r="X13" s="3">
        <f>(V13+W13)*$I$4*$D$3</f>
        <v>176800</v>
      </c>
      <c r="Y13" s="276">
        <v>1</v>
      </c>
      <c r="Z13" s="276">
        <v>1</v>
      </c>
      <c r="AA13" s="3">
        <f>(Y13+Z13)*$I$4*$D$3*0.5</f>
        <v>88400</v>
      </c>
      <c r="AB13" s="276">
        <v>1</v>
      </c>
      <c r="AC13" s="276">
        <v>1</v>
      </c>
      <c r="AD13" s="3">
        <f>(AB13+AC13)*$I$4*$D$3*0.5</f>
        <v>88400</v>
      </c>
      <c r="AE13" s="3">
        <f t="shared" si="0"/>
        <v>528.19047619047615</v>
      </c>
      <c r="AF13" s="1"/>
      <c r="AH13" s="285"/>
      <c r="AI13" s="58">
        <f>IF(AJ13&gt;0,(T13-D13*2)*(L13+O13)/(K13+N13),0)</f>
        <v>68</v>
      </c>
      <c r="AJ13" s="258">
        <f>SUM(O13,L13)</f>
        <v>2</v>
      </c>
      <c r="AK13" s="1"/>
      <c r="AL13" s="1"/>
      <c r="AM13" s="1"/>
      <c r="AN13" s="1"/>
    </row>
    <row r="14" spans="1:40" x14ac:dyDescent="0.25">
      <c r="A14" s="1" t="s">
        <v>22</v>
      </c>
      <c r="B14" s="88">
        <v>9</v>
      </c>
      <c r="C14" s="88">
        <f>B14*$B$5*2</f>
        <v>432</v>
      </c>
      <c r="D14" s="275">
        <v>18</v>
      </c>
      <c r="E14" s="275">
        <v>12</v>
      </c>
      <c r="F14" s="275"/>
      <c r="G14" s="275"/>
      <c r="H14" s="276">
        <v>35</v>
      </c>
      <c r="I14" s="276">
        <v>15</v>
      </c>
      <c r="J14" s="276"/>
      <c r="K14" s="275">
        <v>6</v>
      </c>
      <c r="L14" s="275">
        <v>1</v>
      </c>
      <c r="M14" s="276">
        <f>+IF(F14&gt;0,$D$3/I14,0)</f>
        <v>0</v>
      </c>
      <c r="N14" s="276">
        <v>6</v>
      </c>
      <c r="O14" s="276">
        <v>1</v>
      </c>
      <c r="P14" s="276"/>
      <c r="Q14" s="276"/>
      <c r="R14" s="3">
        <f>D14+(E14*K14)</f>
        <v>90</v>
      </c>
      <c r="S14" s="3">
        <f>D14+(E14*N14)</f>
        <v>90</v>
      </c>
      <c r="T14" s="3">
        <f>R14+S14</f>
        <v>180</v>
      </c>
      <c r="U14" s="23">
        <f>T14*$I$3</f>
        <v>378000</v>
      </c>
      <c r="V14" s="276">
        <v>1</v>
      </c>
      <c r="W14" s="276">
        <v>1</v>
      </c>
      <c r="X14" s="3">
        <f>(V14+W14)*$I$4*$D$3</f>
        <v>176800</v>
      </c>
      <c r="Y14" s="276">
        <v>1</v>
      </c>
      <c r="Z14" s="276">
        <v>1</v>
      </c>
      <c r="AA14" s="3">
        <f>(Y14+Z14)*$I$4*$D$3*0.5</f>
        <v>88400</v>
      </c>
      <c r="AB14" s="276">
        <v>1</v>
      </c>
      <c r="AC14" s="276">
        <v>1</v>
      </c>
      <c r="AD14" s="3">
        <f>(AB14+AC14)*$I$4*$D$3*0.5</f>
        <v>88400</v>
      </c>
      <c r="AE14" s="3">
        <f t="shared" si="0"/>
        <v>264.1904761904762</v>
      </c>
      <c r="AF14" s="1"/>
      <c r="AH14" s="285">
        <v>0</v>
      </c>
      <c r="AI14" s="58">
        <f>IF(AJ14&gt;0,(T14-D14*2)*(L14+O14)/(K14+N14),0)</f>
        <v>24</v>
      </c>
      <c r="AJ14" s="258">
        <f>SUM(O14,L14)</f>
        <v>2</v>
      </c>
      <c r="AK14" s="1"/>
      <c r="AL14" s="1"/>
      <c r="AM14" s="1"/>
      <c r="AN14" s="1"/>
    </row>
    <row r="15" spans="1:40" x14ac:dyDescent="0.25">
      <c r="A15" s="1" t="s">
        <v>354</v>
      </c>
      <c r="B15" s="88"/>
      <c r="C15" s="88"/>
      <c r="D15" s="275"/>
      <c r="E15" s="275">
        <v>4</v>
      </c>
      <c r="F15" s="275"/>
      <c r="G15" s="275"/>
      <c r="H15" s="276"/>
      <c r="I15" s="276"/>
      <c r="J15" s="276"/>
      <c r="K15" s="275">
        <v>6</v>
      </c>
      <c r="L15" s="275">
        <v>6</v>
      </c>
      <c r="M15" s="276"/>
      <c r="N15" s="276">
        <v>6</v>
      </c>
      <c r="O15" s="276">
        <v>6</v>
      </c>
      <c r="P15" s="276"/>
      <c r="Q15" s="276"/>
      <c r="R15" s="3">
        <f>D15+(E15*K15)</f>
        <v>24</v>
      </c>
      <c r="S15" s="3">
        <f>D15+(E15*N15)</f>
        <v>24</v>
      </c>
      <c r="T15" s="3">
        <f>R15+S15</f>
        <v>48</v>
      </c>
      <c r="U15" s="23"/>
      <c r="V15" s="276"/>
      <c r="W15" s="276"/>
      <c r="X15" s="23"/>
      <c r="Y15" s="276">
        <v>1</v>
      </c>
      <c r="Z15" s="276">
        <v>1</v>
      </c>
      <c r="AA15" s="3">
        <f>(Y15+Z15)*$I$4*$D$3*0.5</f>
        <v>88400</v>
      </c>
      <c r="AB15" s="276"/>
      <c r="AC15" s="276"/>
      <c r="AD15" s="3"/>
      <c r="AE15" s="3"/>
      <c r="AF15" s="1"/>
      <c r="AH15" s="285"/>
      <c r="AI15" s="58"/>
      <c r="AJ15" s="258">
        <f>SUM(O15,L15)</f>
        <v>12</v>
      </c>
      <c r="AK15" s="1"/>
      <c r="AL15" s="1"/>
      <c r="AM15" s="1"/>
      <c r="AN15" s="1"/>
    </row>
    <row r="16" spans="1:40" x14ac:dyDescent="0.25">
      <c r="A16" s="1" t="s">
        <v>335</v>
      </c>
      <c r="B16" s="88"/>
      <c r="C16" s="88"/>
      <c r="D16" s="275"/>
      <c r="E16" s="275">
        <v>2</v>
      </c>
      <c r="F16" s="275"/>
      <c r="G16" s="275"/>
      <c r="H16" s="276">
        <v>40</v>
      </c>
      <c r="I16" s="276"/>
      <c r="J16" s="276"/>
      <c r="K16" s="275">
        <v>6</v>
      </c>
      <c r="L16" s="275">
        <v>6</v>
      </c>
      <c r="M16" s="276"/>
      <c r="N16" s="276">
        <v>6</v>
      </c>
      <c r="O16" s="276">
        <v>6</v>
      </c>
      <c r="P16" s="276"/>
      <c r="Q16" s="276"/>
      <c r="R16" s="3">
        <f>D16+(E16*K16)</f>
        <v>12</v>
      </c>
      <c r="S16" s="3">
        <f>D16+(E16*N16)</f>
        <v>12</v>
      </c>
      <c r="T16" s="3">
        <f>R16+S16</f>
        <v>24</v>
      </c>
      <c r="U16" s="23">
        <f>T16*$I$3</f>
        <v>50400</v>
      </c>
      <c r="V16" s="276"/>
      <c r="W16" s="276"/>
      <c r="X16" s="23"/>
      <c r="Y16" s="276"/>
      <c r="Z16" s="276"/>
      <c r="AA16" s="3">
        <f>(Y16+Z16)*$I$4*$D$3*0.5</f>
        <v>0</v>
      </c>
      <c r="AB16" s="276"/>
      <c r="AC16" s="276"/>
      <c r="AD16" s="3">
        <f>(AB16+AC16)*$I$4*$D$3*0.5</f>
        <v>0</v>
      </c>
      <c r="AE16" s="3">
        <f t="shared" si="0"/>
        <v>24</v>
      </c>
      <c r="AF16" s="1"/>
      <c r="AH16" s="285"/>
      <c r="AI16" s="58"/>
      <c r="AJ16" s="258">
        <f>SUM(O16,L16)</f>
        <v>12</v>
      </c>
      <c r="AK16" s="1"/>
      <c r="AL16" s="1"/>
      <c r="AM16" s="1"/>
      <c r="AN16" s="1"/>
    </row>
    <row r="17" spans="1:40" x14ac:dyDescent="0.25">
      <c r="A17" s="1"/>
      <c r="B17" s="88"/>
      <c r="C17" s="88"/>
      <c r="D17" s="275"/>
      <c r="E17" s="275"/>
      <c r="F17" s="275"/>
      <c r="G17" s="275"/>
      <c r="H17" s="276"/>
      <c r="I17" s="276"/>
      <c r="J17" s="276"/>
      <c r="K17" s="275"/>
      <c r="L17" s="275"/>
      <c r="M17" s="276"/>
      <c r="N17" s="276"/>
      <c r="O17" s="276"/>
      <c r="P17" s="276"/>
      <c r="Q17" s="276"/>
      <c r="R17" s="3"/>
      <c r="S17" s="3"/>
      <c r="T17" s="3"/>
      <c r="U17" s="23"/>
      <c r="V17" s="276"/>
      <c r="W17" s="276"/>
      <c r="X17" s="23"/>
      <c r="Y17" s="276"/>
      <c r="Z17" s="276"/>
      <c r="AA17" s="3"/>
      <c r="AB17" s="276"/>
      <c r="AC17" s="276"/>
      <c r="AD17" s="3"/>
      <c r="AE17" s="3"/>
      <c r="AF17" s="1"/>
      <c r="AH17" s="285"/>
      <c r="AI17" s="58"/>
      <c r="AJ17" s="258"/>
      <c r="AK17" s="1"/>
      <c r="AL17" s="1"/>
      <c r="AM17" s="1"/>
      <c r="AN17" s="1"/>
    </row>
    <row r="18" spans="1:40" x14ac:dyDescent="0.25">
      <c r="A18" s="15" t="s">
        <v>39</v>
      </c>
      <c r="B18" s="89"/>
      <c r="C18" s="89"/>
      <c r="D18" s="275"/>
      <c r="E18" s="275"/>
      <c r="F18" s="275"/>
      <c r="G18" s="275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3"/>
      <c r="S18" s="3"/>
      <c r="T18" s="3"/>
      <c r="U18" s="23">
        <f>S18*$I$3*3.75/5</f>
        <v>0</v>
      </c>
      <c r="V18" s="276"/>
      <c r="W18" s="276"/>
      <c r="X18" s="23"/>
      <c r="Y18" s="276"/>
      <c r="Z18" s="276"/>
      <c r="AA18" s="3"/>
      <c r="AB18" s="276"/>
      <c r="AC18" s="276"/>
      <c r="AD18" s="3"/>
      <c r="AE18" s="3">
        <f t="shared" si="0"/>
        <v>0</v>
      </c>
      <c r="AF18" s="1"/>
      <c r="AH18" s="285"/>
      <c r="AI18" s="58"/>
      <c r="AJ18" s="258"/>
      <c r="AK18" s="1"/>
      <c r="AL18" s="1"/>
      <c r="AM18" s="1"/>
      <c r="AN18" s="1"/>
    </row>
    <row r="19" spans="1:40" x14ac:dyDescent="0.25">
      <c r="A19" s="2" t="s">
        <v>107</v>
      </c>
      <c r="B19" s="63">
        <f>SUM(B20:B25)</f>
        <v>30</v>
      </c>
      <c r="C19" s="63">
        <f>B19*$B$5*2</f>
        <v>1440</v>
      </c>
      <c r="D19" s="275"/>
      <c r="E19" s="275"/>
      <c r="F19" s="275"/>
      <c r="G19" s="275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3"/>
      <c r="S19" s="3"/>
      <c r="T19" s="3"/>
      <c r="U19" s="23"/>
      <c r="V19" s="276"/>
      <c r="W19" s="276"/>
      <c r="X19" s="23"/>
      <c r="Y19" s="276"/>
      <c r="Z19" s="276"/>
      <c r="AA19" s="3"/>
      <c r="AB19" s="276"/>
      <c r="AC19" s="276"/>
      <c r="AD19" s="3"/>
      <c r="AE19" s="3">
        <f t="shared" si="0"/>
        <v>0</v>
      </c>
      <c r="AF19" s="1"/>
      <c r="AH19" s="285"/>
      <c r="AI19" s="58"/>
      <c r="AJ19" s="87"/>
      <c r="AK19" s="1"/>
      <c r="AL19" s="1"/>
      <c r="AM19" s="1"/>
      <c r="AN19" s="1"/>
    </row>
    <row r="20" spans="1:40" x14ac:dyDescent="0.25">
      <c r="A20" s="1" t="s">
        <v>334</v>
      </c>
      <c r="B20" s="64">
        <v>7</v>
      </c>
      <c r="C20" s="63">
        <f>B20*$B$5*2</f>
        <v>336</v>
      </c>
      <c r="D20" s="275">
        <v>14</v>
      </c>
      <c r="E20" s="275">
        <v>16</v>
      </c>
      <c r="F20" s="275"/>
      <c r="G20" s="275"/>
      <c r="H20" s="276">
        <v>24</v>
      </c>
      <c r="I20" s="276">
        <v>15</v>
      </c>
      <c r="J20" s="276"/>
      <c r="K20" s="275">
        <v>5</v>
      </c>
      <c r="L20" s="275">
        <v>0</v>
      </c>
      <c r="M20" s="276">
        <f>+IF(F20&gt;0,$D$3/I20,0)</f>
        <v>0</v>
      </c>
      <c r="N20" s="276">
        <v>5</v>
      </c>
      <c r="O20" s="276">
        <v>0</v>
      </c>
      <c r="P20" s="276"/>
      <c r="Q20" s="276"/>
      <c r="R20" s="3">
        <f>D20+(E20*K20)</f>
        <v>94</v>
      </c>
      <c r="S20" s="3">
        <f>D20+(E20*N20)</f>
        <v>94</v>
      </c>
      <c r="T20" s="3">
        <f t="shared" ref="T20:T25" si="1">R20+S20</f>
        <v>188</v>
      </c>
      <c r="U20" s="23">
        <f t="shared" ref="U20:U26" si="2">T20*$I$3</f>
        <v>394800</v>
      </c>
      <c r="V20" s="276">
        <v>1</v>
      </c>
      <c r="W20" s="276">
        <v>1</v>
      </c>
      <c r="X20" s="3">
        <f>(V20+W20)*$I$4*$D$3</f>
        <v>176800</v>
      </c>
      <c r="Y20" s="276">
        <v>1</v>
      </c>
      <c r="Z20" s="276">
        <v>1</v>
      </c>
      <c r="AA20" s="3">
        <f>(Y20+Z20)*$I$4*$D$3*0.5</f>
        <v>88400</v>
      </c>
      <c r="AB20" s="276">
        <v>3</v>
      </c>
      <c r="AC20" s="276">
        <v>3</v>
      </c>
      <c r="AD20" s="3">
        <f>(AB20+AC20)*$I$4*$D$3*0.5</f>
        <v>265200</v>
      </c>
      <c r="AE20" s="3">
        <f t="shared" si="0"/>
        <v>356.38095238095241</v>
      </c>
      <c r="AF20" s="1"/>
      <c r="AH20" s="285">
        <f>D19*$AH$6*2</f>
        <v>0</v>
      </c>
      <c r="AI20" s="58">
        <f>IF(AJ20&gt;0,(T20-D20*2)*(L20+O20)/(K20+N20),0)</f>
        <v>0</v>
      </c>
      <c r="AJ20" s="258">
        <f>SUM(O20,L20)</f>
        <v>0</v>
      </c>
      <c r="AK20" s="1"/>
      <c r="AL20" s="1"/>
      <c r="AM20" s="1"/>
      <c r="AN20" s="1"/>
    </row>
    <row r="21" spans="1:40" x14ac:dyDescent="0.25">
      <c r="A21" s="1" t="s">
        <v>328</v>
      </c>
      <c r="B21" s="64"/>
      <c r="C21" s="63"/>
      <c r="D21" s="275">
        <v>2</v>
      </c>
      <c r="E21" s="275">
        <v>12</v>
      </c>
      <c r="F21" s="275"/>
      <c r="G21" s="275"/>
      <c r="H21" s="276">
        <v>38</v>
      </c>
      <c r="I21" s="276"/>
      <c r="J21" s="276"/>
      <c r="K21" s="275">
        <v>5</v>
      </c>
      <c r="L21" s="275">
        <v>0</v>
      </c>
      <c r="M21" s="276"/>
      <c r="N21" s="276">
        <v>5</v>
      </c>
      <c r="O21" s="276">
        <v>0</v>
      </c>
      <c r="P21" s="276"/>
      <c r="Q21" s="276"/>
      <c r="R21" s="3">
        <f>D21+(E21*K21)</f>
        <v>62</v>
      </c>
      <c r="S21" s="3">
        <f>D21+(E21*N21)</f>
        <v>62</v>
      </c>
      <c r="T21" s="3">
        <f t="shared" si="1"/>
        <v>124</v>
      </c>
      <c r="U21" s="23">
        <f>T21*$I$3</f>
        <v>260400</v>
      </c>
      <c r="V21" s="276"/>
      <c r="W21" s="276"/>
      <c r="X21" s="23"/>
      <c r="Y21" s="276"/>
      <c r="Z21" s="276"/>
      <c r="AA21" s="3"/>
      <c r="AB21" s="276"/>
      <c r="AC21" s="276"/>
      <c r="AD21" s="3">
        <f>(AB21+AC21)*$I$4*$D$3*0.5</f>
        <v>0</v>
      </c>
      <c r="AE21" s="3">
        <f t="shared" si="0"/>
        <v>124</v>
      </c>
      <c r="AF21" s="1"/>
      <c r="AH21" s="285"/>
      <c r="AI21" s="58"/>
      <c r="AJ21" s="258"/>
      <c r="AK21" s="1"/>
      <c r="AL21" s="1"/>
      <c r="AM21" s="1"/>
      <c r="AN21" s="1"/>
    </row>
    <row r="22" spans="1:40" x14ac:dyDescent="0.25">
      <c r="A22" s="1" t="s">
        <v>333</v>
      </c>
      <c r="B22" s="64"/>
      <c r="C22" s="63"/>
      <c r="D22" s="275"/>
      <c r="E22" s="275">
        <v>6</v>
      </c>
      <c r="F22" s="275"/>
      <c r="G22" s="275"/>
      <c r="H22" s="276"/>
      <c r="I22" s="276"/>
      <c r="J22" s="276"/>
      <c r="K22" s="275">
        <v>1</v>
      </c>
      <c r="L22" s="275">
        <v>1</v>
      </c>
      <c r="M22" s="276"/>
      <c r="N22" s="276">
        <v>1</v>
      </c>
      <c r="O22" s="276">
        <v>1</v>
      </c>
      <c r="P22" s="276"/>
      <c r="Q22" s="276"/>
      <c r="R22" s="3">
        <f>D22+(E22*K22)</f>
        <v>6</v>
      </c>
      <c r="S22" s="3">
        <f>D22+(E22*N22)</f>
        <v>6</v>
      </c>
      <c r="T22" s="3">
        <f t="shared" si="1"/>
        <v>12</v>
      </c>
      <c r="U22" s="23">
        <f>T22*$I$3</f>
        <v>25200</v>
      </c>
      <c r="V22" s="276"/>
      <c r="W22" s="276"/>
      <c r="X22" s="23"/>
      <c r="Y22" s="276"/>
      <c r="Z22" s="276"/>
      <c r="AA22" s="3"/>
      <c r="AB22" s="276"/>
      <c r="AC22" s="276"/>
      <c r="AD22" s="3"/>
      <c r="AE22" s="3"/>
      <c r="AF22" s="1"/>
      <c r="AH22" s="285"/>
      <c r="AI22" s="58"/>
      <c r="AJ22" s="258"/>
      <c r="AK22" s="1"/>
      <c r="AL22" s="1"/>
      <c r="AM22" s="1"/>
      <c r="AN22" s="1"/>
    </row>
    <row r="23" spans="1:40" x14ac:dyDescent="0.25">
      <c r="A23" s="1" t="s">
        <v>21</v>
      </c>
      <c r="B23" s="64">
        <v>11</v>
      </c>
      <c r="C23" s="63">
        <f>B23*$B$5*2</f>
        <v>528</v>
      </c>
      <c r="D23" s="275">
        <v>18</v>
      </c>
      <c r="E23" s="275">
        <v>16</v>
      </c>
      <c r="F23" s="275"/>
      <c r="G23" s="275"/>
      <c r="H23" s="276">
        <v>40</v>
      </c>
      <c r="I23" s="276">
        <v>15</v>
      </c>
      <c r="J23" s="276"/>
      <c r="K23" s="275">
        <v>5</v>
      </c>
      <c r="L23" s="275">
        <v>0</v>
      </c>
      <c r="M23" s="276">
        <f>+IF(F23&gt;0,$D$3/I23,0)</f>
        <v>0</v>
      </c>
      <c r="N23" s="276">
        <v>5</v>
      </c>
      <c r="O23" s="276">
        <v>0</v>
      </c>
      <c r="P23" s="276"/>
      <c r="Q23" s="276"/>
      <c r="R23" s="3">
        <f>D23+(E23*K23)</f>
        <v>98</v>
      </c>
      <c r="S23" s="3">
        <f>D23+(E23*N23)</f>
        <v>98</v>
      </c>
      <c r="T23" s="3">
        <f t="shared" si="1"/>
        <v>196</v>
      </c>
      <c r="U23" s="23">
        <f t="shared" si="2"/>
        <v>411600</v>
      </c>
      <c r="V23" s="276"/>
      <c r="W23" s="276"/>
      <c r="X23" s="23"/>
      <c r="Y23" s="276">
        <v>1</v>
      </c>
      <c r="Z23" s="276">
        <v>1</v>
      </c>
      <c r="AA23" s="3">
        <f>(Y23+Z23)*$I$4*$D$3*0.5</f>
        <v>88400</v>
      </c>
      <c r="AB23" s="276">
        <v>1</v>
      </c>
      <c r="AC23" s="276">
        <v>1</v>
      </c>
      <c r="AD23" s="3">
        <f>(AB23+AC23)*$I$4*$D$3*0.5</f>
        <v>88400</v>
      </c>
      <c r="AE23" s="3">
        <f t="shared" si="0"/>
        <v>280.1904761904762</v>
      </c>
      <c r="AF23" s="1"/>
      <c r="AH23" s="285">
        <v>0</v>
      </c>
      <c r="AI23" s="58">
        <f>IF(AJ23&gt;0,(T23-D23*2)*(L23+O23)/(K23+N23),0)</f>
        <v>0</v>
      </c>
      <c r="AJ23" s="258">
        <f>SUM(O23,L23)</f>
        <v>0</v>
      </c>
      <c r="AK23" s="1"/>
      <c r="AL23" s="1"/>
      <c r="AM23" s="1"/>
      <c r="AN23" s="1"/>
    </row>
    <row r="24" spans="1:40" x14ac:dyDescent="0.25">
      <c r="A24" s="1" t="s">
        <v>20</v>
      </c>
      <c r="B24" s="64">
        <v>12</v>
      </c>
      <c r="C24" s="63">
        <f>B24*$B$5*2</f>
        <v>576</v>
      </c>
      <c r="D24" s="275">
        <v>24</v>
      </c>
      <c r="E24" s="275">
        <v>20</v>
      </c>
      <c r="F24" s="275"/>
      <c r="G24" s="275"/>
      <c r="H24" s="276">
        <v>40</v>
      </c>
      <c r="I24" s="276">
        <v>15</v>
      </c>
      <c r="J24" s="276"/>
      <c r="K24" s="275">
        <v>5</v>
      </c>
      <c r="L24" s="275">
        <v>3</v>
      </c>
      <c r="M24" s="276">
        <f>+IF(F24&gt;0,$D$3/I24,0)</f>
        <v>0</v>
      </c>
      <c r="N24" s="276">
        <v>5</v>
      </c>
      <c r="O24" s="276">
        <v>3</v>
      </c>
      <c r="P24" s="276"/>
      <c r="Q24" s="276"/>
      <c r="R24" s="3">
        <f>D24+(E24*K24)</f>
        <v>124</v>
      </c>
      <c r="S24" s="3">
        <f>D24+(E24*N24)</f>
        <v>124</v>
      </c>
      <c r="T24" s="3">
        <f t="shared" si="1"/>
        <v>248</v>
      </c>
      <c r="U24" s="23">
        <f t="shared" si="2"/>
        <v>520800</v>
      </c>
      <c r="V24" s="276"/>
      <c r="W24" s="276"/>
      <c r="X24" s="23"/>
      <c r="Y24" s="276">
        <v>1</v>
      </c>
      <c r="Z24" s="276">
        <v>1</v>
      </c>
      <c r="AA24" s="3">
        <f>(Y24+Z24)*$I$4*$D$3*0.5</f>
        <v>88400</v>
      </c>
      <c r="AB24" s="276">
        <v>1</v>
      </c>
      <c r="AC24" s="276">
        <v>1</v>
      </c>
      <c r="AD24" s="3">
        <f>(AB24+AC24)*$I$4*$D$3*0.5</f>
        <v>88400</v>
      </c>
      <c r="AE24" s="3">
        <f t="shared" si="0"/>
        <v>332.1904761904762</v>
      </c>
      <c r="AF24" s="1"/>
      <c r="AH24" s="285">
        <v>0</v>
      </c>
      <c r="AI24" s="58">
        <f>IF(AJ24&gt;0,(T24-D24*2)*(L24+O24)/(K24+N24),0)</f>
        <v>120</v>
      </c>
      <c r="AJ24" s="258">
        <f>SUM(O24,L24)</f>
        <v>6</v>
      </c>
      <c r="AK24" s="1"/>
      <c r="AL24" s="1"/>
      <c r="AM24" s="1"/>
      <c r="AN24" s="1"/>
    </row>
    <row r="25" spans="1:40" hidden="1" x14ac:dyDescent="0.25">
      <c r="A25" s="1" t="s">
        <v>23</v>
      </c>
      <c r="B25" s="64"/>
      <c r="C25" s="64"/>
      <c r="D25" s="275">
        <v>0</v>
      </c>
      <c r="E25" s="275"/>
      <c r="F25" s="275"/>
      <c r="G25" s="275">
        <v>0</v>
      </c>
      <c r="H25" s="276"/>
      <c r="I25" s="276"/>
      <c r="J25" s="276">
        <v>0</v>
      </c>
      <c r="K25" s="276">
        <v>0</v>
      </c>
      <c r="L25" s="276">
        <v>0</v>
      </c>
      <c r="M25" s="276"/>
      <c r="N25" s="276">
        <v>0</v>
      </c>
      <c r="O25" s="276">
        <v>0</v>
      </c>
      <c r="P25" s="276">
        <v>0</v>
      </c>
      <c r="Q25" s="276">
        <v>0</v>
      </c>
      <c r="R25" s="3">
        <f>G25*P25</f>
        <v>0</v>
      </c>
      <c r="S25" s="3">
        <f>G25*Q25</f>
        <v>0</v>
      </c>
      <c r="T25" s="3">
        <f t="shared" si="1"/>
        <v>0</v>
      </c>
      <c r="U25" s="23">
        <f t="shared" si="2"/>
        <v>0</v>
      </c>
      <c r="V25" s="276"/>
      <c r="W25" s="276"/>
      <c r="X25" s="23"/>
      <c r="Y25" s="276"/>
      <c r="Z25" s="276"/>
      <c r="AA25" s="3">
        <f>(Y25+Z25)*$I$4*$D$3*0.5</f>
        <v>0</v>
      </c>
      <c r="AB25" s="276"/>
      <c r="AC25" s="276"/>
      <c r="AD25" s="3">
        <f>(AB25+AC25)*$I$4*$D$3*0.5</f>
        <v>0</v>
      </c>
      <c r="AE25" s="3">
        <f t="shared" si="0"/>
        <v>0</v>
      </c>
      <c r="AF25" s="1"/>
      <c r="AH25" s="285"/>
      <c r="AI25" s="58" t="e">
        <f>IF(AJ25&gt;0,T25*(L25+O25)/(K25+N25),0)</f>
        <v>#DIV/0!</v>
      </c>
      <c r="AJ25" s="258">
        <f>SUM(O24,L24)</f>
        <v>6</v>
      </c>
      <c r="AK25" s="1"/>
      <c r="AL25" s="1"/>
      <c r="AM25" s="1"/>
      <c r="AN25" s="87"/>
    </row>
    <row r="26" spans="1:40" x14ac:dyDescent="0.25">
      <c r="A26" s="1" t="s">
        <v>37</v>
      </c>
      <c r="B26" s="64"/>
      <c r="C26" s="64"/>
      <c r="D26" s="275">
        <v>12</v>
      </c>
      <c r="E26" s="275"/>
      <c r="F26" s="275"/>
      <c r="G26" s="275"/>
      <c r="H26" s="276"/>
      <c r="I26" s="276">
        <v>15</v>
      </c>
      <c r="J26" s="276"/>
      <c r="K26" s="277"/>
      <c r="L26" s="277"/>
      <c r="M26" s="276">
        <f>+IF(F26&gt;0,$D$3/I26,0)</f>
        <v>0</v>
      </c>
      <c r="N26" s="278"/>
      <c r="O26" s="278"/>
      <c r="P26" s="278"/>
      <c r="Q26" s="278"/>
      <c r="R26" s="23"/>
      <c r="S26" s="3">
        <f>D26+(E26*K26)+(F26*M26)*2</f>
        <v>12</v>
      </c>
      <c r="T26" s="24">
        <f>S26*2</f>
        <v>24</v>
      </c>
      <c r="U26" s="23">
        <f t="shared" si="2"/>
        <v>50400</v>
      </c>
      <c r="V26" s="276"/>
      <c r="W26" s="276"/>
      <c r="X26" s="23"/>
      <c r="Y26" s="276"/>
      <c r="Z26" s="276"/>
      <c r="AA26" s="3">
        <f>(Y26+Z26)*$I$4*$D$3*0.5</f>
        <v>0</v>
      </c>
      <c r="AB26" s="276"/>
      <c r="AC26" s="276"/>
      <c r="AD26" s="3">
        <f>(AB26+AC26)*$I$4*$D$3*0.5</f>
        <v>0</v>
      </c>
      <c r="AE26" s="3">
        <f t="shared" si="0"/>
        <v>24</v>
      </c>
      <c r="AF26" s="1"/>
      <c r="AH26" s="285"/>
      <c r="AI26" s="58">
        <f>IF(AJ26&gt;0,(T26-D26*2)*(L26+O26)/(K26+N26),0)</f>
        <v>0</v>
      </c>
      <c r="AJ26" s="258">
        <f>SUM(O26,L26)</f>
        <v>0</v>
      </c>
      <c r="AK26" s="1"/>
      <c r="AL26" s="2"/>
      <c r="AM26" s="1"/>
      <c r="AN26" s="285">
        <v>0</v>
      </c>
    </row>
    <row r="27" spans="1:40" x14ac:dyDescent="0.25">
      <c r="B27" s="64"/>
      <c r="C27" s="64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3"/>
      <c r="S27" s="3"/>
      <c r="T27" s="24"/>
      <c r="U27" s="23"/>
      <c r="V27" s="276"/>
      <c r="W27" s="276"/>
      <c r="X27" s="23"/>
      <c r="Y27" s="276"/>
      <c r="Z27" s="276"/>
      <c r="AA27" s="3"/>
      <c r="AB27" s="276"/>
      <c r="AC27" s="276"/>
      <c r="AD27" s="3"/>
      <c r="AE27" s="3"/>
      <c r="AF27" s="1"/>
      <c r="AH27" s="285">
        <v>4</v>
      </c>
      <c r="AI27" s="58">
        <f>IF(AJ27&gt;0,(T27-D27*2)*(L27+O27)/(K27+N27),0)</f>
        <v>0</v>
      </c>
      <c r="AJ27" s="258"/>
      <c r="AK27" s="2"/>
      <c r="AL27" s="1"/>
      <c r="AM27" s="1"/>
      <c r="AN27" s="1"/>
    </row>
    <row r="28" spans="1:40" ht="45" x14ac:dyDescent="0.25">
      <c r="A28" s="6" t="s">
        <v>48</v>
      </c>
      <c r="B28" s="63"/>
      <c r="C28" s="63">
        <f>SUM(C11,C19)</f>
        <v>2400</v>
      </c>
      <c r="D28" s="279">
        <f>SUM(D9:D26)</f>
        <v>109</v>
      </c>
      <c r="E28" s="279">
        <f>SUM(E9:E26)</f>
        <v>132</v>
      </c>
      <c r="F28" s="279">
        <f>SUM(F9:F23)</f>
        <v>0</v>
      </c>
      <c r="G28" s="279">
        <v>0</v>
      </c>
      <c r="H28" s="276"/>
      <c r="I28" s="276"/>
      <c r="J28" s="276"/>
      <c r="K28" s="280"/>
      <c r="L28" s="281">
        <f>SUM(L9:L26)</f>
        <v>18</v>
      </c>
      <c r="M28" s="280"/>
      <c r="N28" s="282"/>
      <c r="O28" s="281">
        <f>SUM(O9:O26)</f>
        <v>18</v>
      </c>
      <c r="P28" s="282"/>
      <c r="Q28" s="282"/>
      <c r="R28" s="4">
        <f>SUM(R9:R26)</f>
        <v>915</v>
      </c>
      <c r="S28" s="4">
        <f>SUM(S9:S26)</f>
        <v>927</v>
      </c>
      <c r="T28" s="25">
        <f>SUM(T9:T26)</f>
        <v>1854</v>
      </c>
      <c r="U28" s="114">
        <f>SUM(U9:U26)</f>
        <v>3792600</v>
      </c>
      <c r="V28" s="9"/>
      <c r="W28" s="9"/>
      <c r="X28" s="114"/>
      <c r="Y28" s="9">
        <f>SUM(Y12:Y23)</f>
        <v>5</v>
      </c>
      <c r="Z28" s="9">
        <f>SUM(Z12:Z23)</f>
        <v>5</v>
      </c>
      <c r="AA28" s="4">
        <f>SUM(AA12:AA24)</f>
        <v>530400</v>
      </c>
      <c r="AB28" s="9">
        <f>SUM(AB12:AB24)</f>
        <v>7</v>
      </c>
      <c r="AC28" s="9">
        <f>SUM(AC12:AC23)</f>
        <v>6</v>
      </c>
      <c r="AD28" s="4">
        <f>SUM(AD12:AD24)</f>
        <v>618800</v>
      </c>
      <c r="AE28" s="4">
        <f>SUM(AE12:AE26)</f>
        <v>2299.1428571428569</v>
      </c>
      <c r="AF28" s="4">
        <f>U28+AA28+AD28</f>
        <v>4941800</v>
      </c>
      <c r="AG28" s="306" t="s">
        <v>319</v>
      </c>
      <c r="AH28" s="2">
        <f>SUM(AH12:AH27)</f>
        <v>4</v>
      </c>
      <c r="AI28" s="2" t="e">
        <f>SUM(AI12:AI27)</f>
        <v>#DIV/0!</v>
      </c>
      <c r="AJ28" s="2"/>
      <c r="AK28" s="2"/>
      <c r="AL28" s="2">
        <f>AL29/5</f>
        <v>676</v>
      </c>
      <c r="AM28" s="2">
        <f>SUM(AM13:AM27)*5</f>
        <v>0</v>
      </c>
      <c r="AN28" s="2">
        <f>SUM(AN13:AN27)</f>
        <v>0</v>
      </c>
    </row>
    <row r="29" spans="1:40" s="7" customFormat="1" ht="30" x14ac:dyDescent="0.25">
      <c r="A29" s="6"/>
      <c r="B29" s="6"/>
      <c r="C29" s="6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4"/>
      <c r="S29" s="4"/>
      <c r="T29" s="4"/>
      <c r="U29" s="22"/>
      <c r="V29" s="279"/>
      <c r="W29" s="279"/>
      <c r="X29" s="22"/>
      <c r="Y29" s="279"/>
      <c r="Z29" s="279"/>
      <c r="AA29" s="4"/>
      <c r="AB29" s="279"/>
      <c r="AC29" s="279"/>
      <c r="AD29" s="4"/>
      <c r="AE29" s="4"/>
      <c r="AF29" s="2"/>
      <c r="AG29" s="307" t="s">
        <v>318</v>
      </c>
      <c r="AH29" s="2">
        <f>SUM(AH12:AH27)*5</f>
        <v>20</v>
      </c>
      <c r="AI29" s="2" t="e">
        <f>SUM(AI13:AI27)*5</f>
        <v>#DIV/0!</v>
      </c>
      <c r="AJ29" s="125"/>
      <c r="AK29" s="1"/>
      <c r="AL29" s="2">
        <f>(AA28+AD28)/I4</f>
        <v>3380</v>
      </c>
      <c r="AM29" s="2"/>
      <c r="AN29" s="2"/>
    </row>
    <row r="30" spans="1:40" s="7" customFormat="1" x14ac:dyDescent="0.25">
      <c r="A30" s="1" t="s">
        <v>36</v>
      </c>
      <c r="B30" s="87"/>
      <c r="C30" s="87"/>
      <c r="D30" s="276">
        <v>4</v>
      </c>
      <c r="E30" s="276"/>
      <c r="F30" s="276"/>
      <c r="G30" s="276"/>
      <c r="H30" s="276"/>
      <c r="I30" s="276">
        <v>15</v>
      </c>
      <c r="J30" s="276"/>
      <c r="K30" s="276"/>
      <c r="L30" s="276"/>
      <c r="M30" s="276">
        <f>+IF(F30&gt;0,$D$3/I30,0)</f>
        <v>0</v>
      </c>
      <c r="N30" s="276"/>
      <c r="O30" s="276"/>
      <c r="P30" s="276"/>
      <c r="Q30" s="276"/>
      <c r="R30" s="3"/>
      <c r="S30" s="3">
        <f>D30+(E30*K30)+(F30*M30)</f>
        <v>4</v>
      </c>
      <c r="T30" s="3">
        <f>S30*2</f>
        <v>8</v>
      </c>
      <c r="U30" s="115">
        <f>T30*$I$3</f>
        <v>16800</v>
      </c>
      <c r="V30" s="276"/>
      <c r="W30" s="276"/>
      <c r="X30" s="115"/>
      <c r="Y30" s="276"/>
      <c r="Z30" s="276"/>
      <c r="AA30" s="3"/>
      <c r="AB30" s="276"/>
      <c r="AC30" s="276"/>
      <c r="AD30" s="3"/>
      <c r="AE30" s="3"/>
      <c r="AF30" s="1"/>
      <c r="AH30" s="2"/>
      <c r="AI30" s="1"/>
      <c r="AJ30" s="1"/>
      <c r="AK30" s="1"/>
      <c r="AL30" s="3"/>
      <c r="AM30" s="1"/>
      <c r="AN30" s="1"/>
    </row>
    <row r="31" spans="1:40" x14ac:dyDescent="0.25">
      <c r="A31" s="87" t="s">
        <v>12</v>
      </c>
      <c r="B31" s="87"/>
      <c r="C31" s="87"/>
      <c r="D31" s="276"/>
      <c r="E31" s="276">
        <v>24</v>
      </c>
      <c r="F31" s="276"/>
      <c r="G31" s="276"/>
      <c r="H31" s="276">
        <v>6</v>
      </c>
      <c r="I31" s="276"/>
      <c r="J31" s="276"/>
      <c r="K31" s="276">
        <v>36</v>
      </c>
      <c r="L31" s="276"/>
      <c r="M31" s="276"/>
      <c r="N31" s="276">
        <v>36</v>
      </c>
      <c r="O31" s="276"/>
      <c r="P31" s="276"/>
      <c r="Q31" s="276"/>
      <c r="R31" s="3">
        <f>E31*K31</f>
        <v>864</v>
      </c>
      <c r="S31" s="3">
        <f>E31*N31</f>
        <v>864</v>
      </c>
      <c r="T31" s="4">
        <f>R31+S31</f>
        <v>1728</v>
      </c>
      <c r="U31" s="13">
        <f>T31*L3</f>
        <v>742735.87199999997</v>
      </c>
      <c r="V31" s="276"/>
      <c r="W31" s="276"/>
      <c r="X31" s="13"/>
      <c r="Y31" s="276"/>
      <c r="Z31" s="276"/>
      <c r="AA31" s="3"/>
      <c r="AB31" s="276"/>
      <c r="AC31" s="276"/>
      <c r="AD31" s="3"/>
      <c r="AE31" s="3"/>
      <c r="AF31" s="1"/>
      <c r="AH31" s="1">
        <f>T30*0.1</f>
        <v>0.8</v>
      </c>
      <c r="AI31" s="1"/>
      <c r="AJ31" s="1"/>
      <c r="AK31" s="1"/>
      <c r="AL31" s="2"/>
      <c r="AM31" s="1"/>
      <c r="AN31" s="3"/>
    </row>
    <row r="32" spans="1:40" x14ac:dyDescent="0.25">
      <c r="A32" s="2" t="s">
        <v>48</v>
      </c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f>SUM(T29:T31)</f>
        <v>1736</v>
      </c>
      <c r="U32" s="116">
        <f>SUM(U29:U31)</f>
        <v>759535.87199999997</v>
      </c>
      <c r="V32" s="116"/>
      <c r="W32" s="116"/>
      <c r="X32" s="116"/>
      <c r="Y32" s="4"/>
      <c r="Z32" s="4"/>
      <c r="AA32" s="4"/>
      <c r="AB32" s="4"/>
      <c r="AC32" s="4"/>
      <c r="AD32" s="4"/>
      <c r="AE32" s="4"/>
      <c r="AF32" s="2"/>
      <c r="AH32" s="1"/>
      <c r="AI32" s="1"/>
      <c r="AJ32" s="1"/>
      <c r="AK32" s="2"/>
      <c r="AL32" s="1"/>
      <c r="AM32" s="2"/>
      <c r="AN32" s="2"/>
    </row>
    <row r="33" spans="1:40" s="7" customFormat="1" ht="15.75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/>
      <c r="AH33" s="1">
        <f>SUM(AH29:AH31)*5</f>
        <v>104</v>
      </c>
      <c r="AI33" s="1"/>
      <c r="AJ33" s="1"/>
      <c r="AK33" s="1"/>
      <c r="AL33" s="1"/>
      <c r="AM33"/>
      <c r="AN33"/>
    </row>
    <row r="34" spans="1:40" ht="16.5" thickBot="1" x14ac:dyDescent="0.3">
      <c r="A34" s="18"/>
      <c r="B34" s="18"/>
      <c r="C34" s="18"/>
      <c r="D34" s="339" t="s">
        <v>97</v>
      </c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1"/>
      <c r="Q34" s="165"/>
      <c r="R34" s="165"/>
    </row>
    <row r="35" spans="1:40" x14ac:dyDescent="0.25">
      <c r="A35" t="s">
        <v>207</v>
      </c>
    </row>
    <row r="36" spans="1:40" x14ac:dyDescent="0.25">
      <c r="A36" s="1" t="s">
        <v>206</v>
      </c>
      <c r="B36" s="153">
        <v>0</v>
      </c>
      <c r="C36" s="154">
        <f>B36*$B$5*2</f>
        <v>0</v>
      </c>
      <c r="D36" s="283">
        <v>0</v>
      </c>
      <c r="E36" s="283">
        <v>2</v>
      </c>
      <c r="F36" s="283"/>
      <c r="G36" s="283"/>
      <c r="H36" s="283">
        <v>35</v>
      </c>
      <c r="I36" s="283">
        <v>15</v>
      </c>
      <c r="J36" s="283"/>
      <c r="K36" s="284">
        <v>8</v>
      </c>
      <c r="L36" s="284"/>
      <c r="M36" s="283">
        <f>+IF(F36&gt;0,$D$3/I36,0)</f>
        <v>0</v>
      </c>
      <c r="N36" s="283">
        <v>8</v>
      </c>
      <c r="O36" s="283"/>
      <c r="P36" s="283"/>
      <c r="Q36" s="283"/>
      <c r="R36" s="3">
        <f>D36+(E36*K36)</f>
        <v>16</v>
      </c>
      <c r="S36" s="3">
        <f>D36+(E36*N36)</f>
        <v>16</v>
      </c>
      <c r="T36" s="3">
        <f>R36+S36</f>
        <v>32</v>
      </c>
      <c r="U36" s="23">
        <f>T36*$I$3</f>
        <v>67200</v>
      </c>
      <c r="V36" s="23"/>
      <c r="W36" s="23"/>
      <c r="X36" s="23"/>
      <c r="Y36" s="155">
        <v>1</v>
      </c>
      <c r="Z36" s="155"/>
      <c r="AA36" s="3">
        <f>(Y36+Z36)*$I$4*$D$3*0.7</f>
        <v>61879.999999999993</v>
      </c>
      <c r="AB36" s="155"/>
      <c r="AC36" s="155"/>
      <c r="AD36" s="3">
        <f>(AB36+AC36)*$I$4*$D$3*0.7</f>
        <v>0</v>
      </c>
      <c r="AE36" s="3">
        <f>T36+(AA36+AD36)/$I$3</f>
        <v>61.466666666666661</v>
      </c>
      <c r="AF36" s="1"/>
      <c r="AH36" s="3">
        <f>SUM(O36,L36)</f>
        <v>0</v>
      </c>
      <c r="AI36" s="58">
        <f>IF(AJ36&gt;0,(T36-D36*2)*(L36+O36)/(K36+N36),0)</f>
        <v>0</v>
      </c>
      <c r="AJ36" s="156"/>
      <c r="AK36" s="1"/>
      <c r="AL36" s="1"/>
      <c r="AM36" s="1"/>
      <c r="AN36" s="1"/>
    </row>
    <row r="37" spans="1:40" x14ac:dyDescent="0.25">
      <c r="A37" s="152"/>
      <c r="B37" s="152"/>
      <c r="D37" s="21"/>
      <c r="AH37" s="1">
        <f>D36*$AH$6*2</f>
        <v>0</v>
      </c>
      <c r="AI37" s="58">
        <f>((E36*K36)+(E36*N36))*AJ37/(K36+N36)</f>
        <v>0</v>
      </c>
      <c r="AJ37" s="156"/>
      <c r="AK37" s="1"/>
      <c r="AL37" s="1"/>
    </row>
    <row r="38" spans="1:40" x14ac:dyDescent="0.25">
      <c r="A38" s="152"/>
      <c r="B38" s="152"/>
      <c r="D38" s="21"/>
    </row>
    <row r="39" spans="1:40" x14ac:dyDescent="0.25">
      <c r="A39" s="152"/>
      <c r="B39" s="152"/>
    </row>
    <row r="40" spans="1:40" x14ac:dyDescent="0.25">
      <c r="B40" s="152"/>
    </row>
  </sheetData>
  <sheetProtection algorithmName="SHA-512" hashValue="sVjpMhCS9EupohRv2Lx3pSq6J7fCYWF7+KVYdY1SKcs3d+TAy9qWXCkDBaQ7CN9riiA8MPFHnit7lGSZNYdMZA==" saltValue="Hh+wfKMTFZmq63FSzN0eRQ==" spinCount="100000" sheet="1" objects="1" scenarios="1" selectLockedCells="1"/>
  <customSheetViews>
    <customSheetView guid="{54055508-3439-4A0A-A803-01A23ABF8DBD}" fitToPage="1" hiddenRows="1" hiddenColumns="1">
      <pane xSplit="1" topLeftCell="D1" activePane="topRight" state="frozen"/>
      <selection pane="topRight" activeCell="Y23" sqref="Y23"/>
      <pageMargins left="7.874015748031496E-2" right="7.874015748031496E-2" top="0.74803149606299213" bottom="0.74803149606299213" header="0.31496062992125984" footer="0.31496062992125984"/>
      <pageSetup paperSize="9" scale="92" orientation="landscape" r:id="rId1"/>
      <headerFooter>
        <oddHeader>&amp;C&amp;"-,Fet"&amp;14 1. studieår</oddHeader>
      </headerFooter>
    </customSheetView>
    <customSheetView guid="{7084DC93-B2BE-4098-87E1-DAC5FBCE0E0A}" fitToPage="1" hiddenRows="1" hiddenColumns="1" topLeftCell="A13">
      <pane xSplit="1" topLeftCell="B1" activePane="topRight" state="frozen"/>
      <selection pane="topRight" activeCell="D3" sqref="D3"/>
      <pageMargins left="7.874015748031496E-2" right="7.874015748031496E-2" top="0.74803149606299213" bottom="0.74803149606299213" header="0.31496062992125984" footer="0.31496062992125984"/>
      <pageSetup paperSize="9" scale="92" orientation="landscape" r:id="rId2"/>
      <headerFooter>
        <oddHeader>&amp;C&amp;"-,Fet"&amp;14 1. studieår</oddHeader>
      </headerFooter>
    </customSheetView>
    <customSheetView guid="{37BC2192-ABF8-4439-93C4-8E65E7EF90F5}" fitToPage="1" hiddenRows="1" hiddenColumns="1" topLeftCell="A13">
      <pane xSplit="1" topLeftCell="B1" activePane="topRight" state="frozen"/>
      <selection pane="topRight" activeCell="D3" sqref="D3"/>
      <pageMargins left="7.874015748031496E-2" right="7.874015748031496E-2" top="0.74803149606299213" bottom="0.74803149606299213" header="0.31496062992125984" footer="0.31496062992125984"/>
      <pageSetup paperSize="9" scale="92" orientation="landscape" r:id="rId3"/>
      <headerFooter>
        <oddHeader>&amp;C&amp;"-,Fet"&amp;14 1. studieår</oddHeader>
      </headerFooter>
    </customSheetView>
    <customSheetView guid="{1283C6B5-B05C-447B-8854-CDB081C03FD4}" scale="80" fitToPage="1" hiddenRows="1" hiddenColumns="1">
      <pane xSplit="1" topLeftCell="B1" activePane="topRight" state="frozen"/>
      <selection pane="topRight" activeCell="V15" sqref="V15"/>
      <pageMargins left="7.874015748031496E-2" right="7.874015748031496E-2" top="0.74803149606299213" bottom="0.74803149606299213" header="0.31496062992125984" footer="0.31496062992125984"/>
      <pageSetup paperSize="9" scale="92" orientation="landscape" r:id="rId4"/>
      <headerFooter>
        <oddHeader>&amp;C&amp;"-,Fet"&amp;14 1. studieår</oddHeader>
      </headerFooter>
    </customSheetView>
    <customSheetView guid="{F170D8DF-3539-4353-BD8B-1F5EB452DAE5}" fitToPage="1" hiddenRows="1" hiddenColumns="1" topLeftCell="A4">
      <pane xSplit="7" ySplit="5" topLeftCell="H9" activePane="bottomRight" state="frozen"/>
      <selection pane="bottomRight" activeCell="L18" sqref="L18"/>
      <pageMargins left="7.874015748031496E-2" right="7.874015748031496E-2" top="0.74803149606299213" bottom="0.74803149606299213" header="0.31496062992125984" footer="0.31496062992125984"/>
      <pageSetup paperSize="9" scale="92" orientation="landscape" r:id="rId5"/>
      <headerFooter>
        <oddHeader>&amp;C&amp;"-,Fet"&amp;14 1. studieår</oddHeader>
      </headerFooter>
    </customSheetView>
    <customSheetView guid="{F727610F-D041-4412-A81F-AFD013C44971}" fitToPage="1" hiddenRows="1" hiddenColumns="1" topLeftCell="A7">
      <pane xSplit="1" topLeftCell="B1" activePane="topRight" state="frozen"/>
      <selection pane="topRight" activeCell="G22" sqref="G22"/>
      <pageMargins left="7.874015748031496E-2" right="7.874015748031496E-2" top="0.74803149606299213" bottom="0.74803149606299213" header="0.31496062992125984" footer="0.31496062992125984"/>
      <pageSetup paperSize="9" scale="92" orientation="landscape" r:id="rId6"/>
      <headerFooter>
        <oddHeader>&amp;C&amp;"-,Fet"&amp;14 1. studieår</oddHeader>
      </headerFooter>
    </customSheetView>
    <customSheetView guid="{46AB9545-8BEE-4A2F-B820-9F80AC24A11B}" fitToPage="1" hiddenRows="1" hiddenColumns="1" topLeftCell="A4">
      <pane xSplit="7" ySplit="5" topLeftCell="J12" activePane="bottomRight" state="frozen"/>
      <selection pane="bottomRight" activeCell="L18" sqref="L18"/>
      <pageMargins left="7.874015748031496E-2" right="7.874015748031496E-2" top="0.74803149606299213" bottom="0.74803149606299213" header="0.31496062992125984" footer="0.31496062992125984"/>
      <pageSetup paperSize="9" scale="92" orientation="landscape" r:id="rId7"/>
      <headerFooter>
        <oddHeader>&amp;C&amp;"-,Fet"&amp;14 1. studieår</oddHeader>
      </headerFooter>
    </customSheetView>
    <customSheetView guid="{E5349645-7714-4437-B9BC-26ED822E5BC5}" fitToPage="1" hiddenRows="1" hiddenColumns="1" topLeftCell="A2">
      <pane xSplit="1" topLeftCell="B1" activePane="topRight" state="frozen"/>
      <selection pane="topRight" activeCell="O8" sqref="O8"/>
      <pageMargins left="7.874015748031496E-2" right="7.874015748031496E-2" top="0.74803149606299213" bottom="0.74803149606299213" header="0.31496062992125984" footer="0.31496062992125984"/>
      <pageSetup paperSize="9" scale="92" orientation="landscape" r:id="rId8"/>
      <headerFooter>
        <oddHeader>&amp;C&amp;"-,Fet"&amp;14 1. studieår</oddHeader>
      </headerFooter>
    </customSheetView>
    <customSheetView guid="{43EFFC0A-CCC0-43DD-A273-4AF58757EC00}" fitToPage="1" hiddenColumns="1">
      <pane xSplit="1" topLeftCell="P1" activePane="topRight" state="frozen"/>
      <selection pane="topRight" activeCell="AE17" sqref="AE17"/>
      <pageMargins left="7.874015748031496E-2" right="7.874015748031496E-2" top="0.74803149606299213" bottom="0.74803149606299213" header="0.31496062992125984" footer="0.31496062992125984"/>
      <pageSetup paperSize="9" scale="92" orientation="landscape" r:id="rId9"/>
      <headerFooter>
        <oddHeader>&amp;C&amp;"-,Fet"&amp;14 1. studieår</oddHeader>
      </headerFooter>
    </customSheetView>
    <customSheetView guid="{7AE955BB-7BF8-4CA4-ABF1-6A0BB53A48AD}" fitToPage="1" hiddenRows="1" hiddenColumns="1" topLeftCell="A2">
      <selection activeCell="O24" sqref="O24"/>
      <pageMargins left="7.874015748031496E-2" right="7.874015748031496E-2" top="0.74803149606299213" bottom="0.74803149606299213" header="0.31496062992125984" footer="0.31496062992125984"/>
      <pageSetup paperSize="9" scale="92" orientation="landscape" r:id="rId10"/>
      <headerFooter>
        <oddHeader>&amp;C&amp;"-,Fet"&amp;14 1. studieår</oddHeader>
      </headerFooter>
    </customSheetView>
    <customSheetView guid="{BB9ED292-532F-438C-A4A6-F8D66D70E0E7}" fitToPage="1" hiddenRows="1" hiddenColumns="1" topLeftCell="A8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11"/>
      <headerFooter>
        <oddHeader>&amp;C&amp;"-,Fet"&amp;14 1. studieår</oddHeader>
      </headerFooter>
    </customSheetView>
    <customSheetView guid="{726FF687-50E0-4F8A-BCCB-6DA9E6D367D4}" fitToPage="1" hiddenRows="1" hiddenColumns="1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12"/>
      <headerFooter>
        <oddHeader>&amp;C&amp;"-,Fet"&amp;14 1. studieår</oddHeader>
      </headerFooter>
    </customSheetView>
    <customSheetView guid="{B76C0EA9-E79B-4DA2-9ADE-66DB47109F8F}" fitToPage="1" hiddenRows="1" hiddenColumns="1" topLeftCell="A14">
      <selection activeCell="R5" sqref="R5:V5"/>
      <pageMargins left="7.874015748031496E-2" right="7.874015748031496E-2" top="0.74803149606299213" bottom="0.74803149606299213" header="0.31496062992125984" footer="0.31496062992125984"/>
      <pageSetup paperSize="9" scale="92" orientation="landscape" r:id="rId13"/>
      <headerFooter>
        <oddHeader>&amp;C&amp;"-,Fet"&amp;14 1. studieår</oddHeader>
      </headerFooter>
    </customSheetView>
    <customSheetView guid="{91227156-ECBD-48FD-8964-78F3608400FC}" fitToPage="1" hiddenRows="1" hiddenColumns="1" topLeftCell="A11">
      <selection activeCell="R5" sqref="R5:V5"/>
      <pageMargins left="7.874015748031496E-2" right="7.874015748031496E-2" top="0.74803149606299213" bottom="0.74803149606299213" header="0.31496062992125984" footer="0.31496062992125984"/>
      <pageSetup paperSize="9" scale="92" orientation="landscape" r:id="rId14"/>
      <headerFooter>
        <oddHeader>&amp;C&amp;"-,Fet"&amp;14 1. studieår</oddHeader>
      </headerFooter>
    </customSheetView>
    <customSheetView guid="{1241DC17-BD41-46C5-9DB1-684763A09F24}" fitToPage="1" hiddenColumns="1" topLeftCell="A4">
      <pane xSplit="1" topLeftCell="B1" activePane="topRight" state="frozen"/>
      <selection pane="topRight" activeCell="M4" sqref="M1:M1048576"/>
      <pageMargins left="7.874015748031496E-2" right="7.874015748031496E-2" top="0.74803149606299213" bottom="0.74803149606299213" header="0.31496062992125984" footer="0.31496062992125984"/>
      <pageSetup paperSize="9" scale="41" orientation="landscape" r:id="rId15"/>
      <headerFooter>
        <oddHeader>&amp;C&amp;"-,Fet"&amp;14 1. studieår</oddHeader>
      </headerFooter>
    </customSheetView>
    <customSheetView guid="{C1FECEF4-D739-4F39-9B89-CF4C04A77A9B}" fitToPage="1" hiddenRows="1" hiddenColumns="1" topLeftCell="A11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16"/>
      <headerFooter>
        <oddHeader>&amp;C&amp;"-,Fet"&amp;14 1. studieår</oddHeader>
      </headerFooter>
    </customSheetView>
    <customSheetView guid="{83C69039-3E29-46E1-85FB-B9165E0BFA91}" fitToPage="1" hiddenColumns="1" topLeftCell="A4">
      <pane xSplit="1" topLeftCell="B1" activePane="topRight" state="frozen"/>
      <selection pane="topRight" activeCell="M4" sqref="M1:M1048576"/>
      <pageMargins left="7.874015748031496E-2" right="7.874015748031496E-2" top="0.74803149606299213" bottom="0.74803149606299213" header="0.31496062992125984" footer="0.31496062992125984"/>
      <pageSetup paperSize="9" scale="41" orientation="landscape" r:id="rId17"/>
      <headerFooter>
        <oddHeader>&amp;C&amp;"-,Fet"&amp;14 1. studieår</oddHeader>
      </headerFooter>
    </customSheetView>
    <customSheetView guid="{F38A39FA-EF57-4062-A2AD-F3BEB88C5762}" fitToPage="1" hiddenColumns="1">
      <pane xSplit="1" topLeftCell="P1" activePane="topRight" state="frozen"/>
      <selection pane="topRight" activeCell="AE17" sqref="AE17"/>
      <pageMargins left="7.874015748031496E-2" right="7.874015748031496E-2" top="0.74803149606299213" bottom="0.74803149606299213" header="0.31496062992125984" footer="0.31496062992125984"/>
      <pageSetup paperSize="9" scale="92" orientation="landscape" r:id="rId18"/>
      <headerFooter>
        <oddHeader>&amp;C&amp;"-,Fet"&amp;14 1. studieår</oddHeader>
      </headerFooter>
    </customSheetView>
    <customSheetView guid="{749D43A3-052D-442F-AE88-F6CCB83A1282}" fitToPage="1" hiddenColumns="1" topLeftCell="A9">
      <pane xSplit="1" topLeftCell="U1" activePane="topRight" state="frozen"/>
      <selection pane="topRight" activeCell="H20" sqref="H20"/>
      <pageMargins left="7.874015748031496E-2" right="7.874015748031496E-2" top="0.74803149606299213" bottom="0.74803149606299213" header="0.31496062992125984" footer="0.31496062992125984"/>
      <pageSetup paperSize="9" scale="92" orientation="landscape" r:id="rId19"/>
      <headerFooter>
        <oddHeader>&amp;C&amp;"-,Fet"&amp;14 1. studieår</oddHeader>
      </headerFooter>
    </customSheetView>
    <customSheetView guid="{AC2983A2-F978-40B7-A196-35F34E705157}" fitToPage="1" hiddenRows="1" hiddenColumns="1">
      <pane xSplit="1" topLeftCell="K1" activePane="topRight" state="frozen"/>
      <selection pane="topRight" activeCell="O14" sqref="O14"/>
      <pageMargins left="7.874015748031496E-2" right="7.874015748031496E-2" top="0.74803149606299213" bottom="0.74803149606299213" header="0.31496062992125984" footer="0.31496062992125984"/>
      <pageSetup paperSize="9" scale="92" orientation="landscape" r:id="rId20"/>
      <headerFooter>
        <oddHeader>&amp;C&amp;"-,Fet"&amp;14 1. studieår</oddHeader>
      </headerFooter>
    </customSheetView>
    <customSheetView guid="{2A2C752C-8C42-4F9A-A40C-FE7F7014F210}" fitToPage="1" hiddenRows="1" hiddenColumns="1">
      <pane xSplit="1" topLeftCell="K1" activePane="topRight" state="frozen"/>
      <selection pane="topRight" activeCell="O14" sqref="O14"/>
      <pageMargins left="7.874015748031496E-2" right="7.874015748031496E-2" top="0.74803149606299213" bottom="0.74803149606299213" header="0.31496062992125984" footer="0.31496062992125984"/>
      <pageSetup paperSize="9" scale="92" orientation="landscape" r:id="rId21"/>
      <headerFooter>
        <oddHeader>&amp;C&amp;"-,Fet"&amp;14 1. studieår</oddHeader>
      </headerFooter>
    </customSheetView>
    <customSheetView guid="{0E885D9C-CD7C-4655-8709-41793617E0A7}" fitToPage="1" hiddenRows="1" hiddenColumns="1" topLeftCell="A13">
      <pane xSplit="1" topLeftCell="B1" activePane="topRight" state="frozen"/>
      <selection pane="topRight" activeCell="D3" sqref="D3"/>
      <pageMargins left="7.874015748031496E-2" right="7.874015748031496E-2" top="0.74803149606299213" bottom="0.74803149606299213" header="0.31496062992125984" footer="0.31496062992125984"/>
      <pageSetup paperSize="9" scale="92" orientation="landscape" r:id="rId22"/>
      <headerFooter>
        <oddHeader>&amp;C&amp;"-,Fet"&amp;14 1. studieår</oddHeader>
      </headerFooter>
    </customSheetView>
    <customSheetView guid="{CB7E9FB3-C7A3-44DE-98E4-19C23B487785}" fitToPage="1" hiddenRows="1" hiddenColumns="1">
      <pane xSplit="1" topLeftCell="D1" activePane="topRight" state="frozen"/>
      <selection pane="topRight" activeCell="Y23" sqref="Y23"/>
      <pageMargins left="7.874015748031496E-2" right="7.874015748031496E-2" top="0.74803149606299213" bottom="0.74803149606299213" header="0.31496062992125984" footer="0.31496062992125984"/>
      <pageSetup paperSize="9" scale="92" orientation="landscape" r:id="rId23"/>
      <headerFooter>
        <oddHeader>&amp;C&amp;"-,Fet"&amp;14 1. studieår</oddHeader>
      </headerFooter>
    </customSheetView>
  </customSheetViews>
  <mergeCells count="10">
    <mergeCell ref="AH7:AN7"/>
    <mergeCell ref="AI4:AN4"/>
    <mergeCell ref="A1:U1"/>
    <mergeCell ref="T3:Y3"/>
    <mergeCell ref="D34:P34"/>
    <mergeCell ref="AI3:AN3"/>
    <mergeCell ref="D6:AF6"/>
    <mergeCell ref="D7:AF7"/>
    <mergeCell ref="AI8:AJ8"/>
    <mergeCell ref="AM8:AN8"/>
  </mergeCells>
  <pageMargins left="7.874015748031496E-2" right="7.874015748031496E-2" top="0.74803149606299213" bottom="0.74803149606299213" header="0.31496062992125984" footer="0.31496062992125984"/>
  <pageSetup paperSize="9" scale="92" orientation="landscape" r:id="rId24"/>
  <headerFooter>
    <oddHeader>&amp;C&amp;"-,Fet"&amp;14 1. studieår</oddHeader>
  </headerFooter>
  <legacy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H36"/>
  <sheetViews>
    <sheetView zoomScaleNormal="100" workbookViewId="0">
      <pane xSplit="1" topLeftCell="D1" activePane="topRight" state="frozen"/>
      <selection activeCell="A7" sqref="A7"/>
      <selection pane="topRight" activeCell="I25" sqref="I25"/>
    </sheetView>
  </sheetViews>
  <sheetFormatPr defaultColWidth="11.42578125" defaultRowHeight="15" x14ac:dyDescent="0.25"/>
  <cols>
    <col min="1" max="1" width="38.85546875" customWidth="1"/>
    <col min="2" max="2" width="15.140625" customWidth="1"/>
    <col min="3" max="3" width="13.42578125" customWidth="1"/>
    <col min="4" max="4" width="12.85546875" customWidth="1"/>
    <col min="5" max="5" width="9.5703125" customWidth="1"/>
    <col min="6" max="6" width="4.140625" hidden="1" customWidth="1"/>
    <col min="7" max="7" width="11" customWidth="1"/>
    <col min="8" max="8" width="0.140625" hidden="1" customWidth="1"/>
    <col min="9" max="12" width="9.140625" customWidth="1"/>
    <col min="13" max="13" width="9.5703125" customWidth="1"/>
    <col min="14" max="14" width="9.85546875" customWidth="1"/>
    <col min="15" max="15" width="9.140625" customWidth="1"/>
    <col min="16" max="16" width="10.42578125" style="5" customWidth="1"/>
    <col min="17" max="17" width="10" style="5" customWidth="1"/>
    <col min="18" max="19" width="9.85546875" style="5" customWidth="1"/>
    <col min="20" max="21" width="10" style="5" customWidth="1"/>
    <col min="22" max="22" width="9.5703125" style="5" customWidth="1"/>
    <col min="23" max="23" width="12.42578125" style="5" customWidth="1"/>
    <col min="24" max="24" width="10" style="5" customWidth="1"/>
    <col min="25" max="25" width="14.85546875" customWidth="1"/>
    <col min="26" max="26" width="12.42578125" customWidth="1"/>
    <col min="27" max="253" width="9.140625" customWidth="1"/>
  </cols>
  <sheetData>
    <row r="1" spans="1:34" x14ac:dyDescent="0.25">
      <c r="A1" s="199" t="s">
        <v>5</v>
      </c>
      <c r="B1" s="200"/>
      <c r="C1" s="200"/>
      <c r="D1" s="323">
        <v>215</v>
      </c>
      <c r="E1" s="57"/>
      <c r="F1" s="198"/>
      <c r="G1" s="197" t="s">
        <v>9</v>
      </c>
      <c r="I1" s="293">
        <v>2100</v>
      </c>
      <c r="Z1" s="352" t="s">
        <v>127</v>
      </c>
      <c r="AA1" s="353"/>
      <c r="AB1" s="353"/>
      <c r="AC1" s="353"/>
      <c r="AD1" s="353"/>
      <c r="AE1" s="353"/>
      <c r="AF1" s="354"/>
    </row>
    <row r="2" spans="1:34" x14ac:dyDescent="0.25">
      <c r="A2" s="160" t="s">
        <v>6</v>
      </c>
      <c r="B2" s="161"/>
      <c r="C2" s="161"/>
      <c r="D2" s="322">
        <v>2400</v>
      </c>
      <c r="E2" s="57"/>
      <c r="F2" s="198"/>
      <c r="G2" s="197" t="s">
        <v>10</v>
      </c>
      <c r="I2" s="324">
        <v>340</v>
      </c>
      <c r="Z2" s="101" t="s">
        <v>116</v>
      </c>
      <c r="AA2" s="98" t="s">
        <v>110</v>
      </c>
      <c r="AB2" s="98"/>
      <c r="AC2" s="98" t="s">
        <v>111</v>
      </c>
      <c r="AD2" s="98"/>
      <c r="AE2" s="98" t="s">
        <v>113</v>
      </c>
      <c r="AF2" s="102" t="s">
        <v>112</v>
      </c>
    </row>
    <row r="3" spans="1:34" s="57" customFormat="1" ht="18.75" x14ac:dyDescent="0.3">
      <c r="A3" s="65" t="s">
        <v>101</v>
      </c>
      <c r="B3" s="66">
        <v>24</v>
      </c>
      <c r="C3" s="68"/>
      <c r="D3" s="69"/>
      <c r="F3" s="14"/>
      <c r="G3" s="14"/>
      <c r="P3" s="70"/>
      <c r="Q3" s="70"/>
      <c r="R3" s="70"/>
      <c r="S3" s="70"/>
      <c r="T3" s="70"/>
      <c r="U3" s="70"/>
      <c r="V3" s="70"/>
      <c r="W3" s="70"/>
      <c r="X3" s="70"/>
      <c r="Z3" s="157"/>
      <c r="AA3" s="158"/>
      <c r="AB3" s="103"/>
      <c r="AC3" s="158"/>
      <c r="AD3" s="103"/>
      <c r="AE3" s="158">
        <v>1</v>
      </c>
      <c r="AF3" s="159">
        <v>0.3</v>
      </c>
    </row>
    <row r="4" spans="1:34" s="57" customFormat="1" x14ac:dyDescent="0.25">
      <c r="D4" s="356" t="s">
        <v>103</v>
      </c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Z4" s="355" t="s">
        <v>114</v>
      </c>
      <c r="AA4" s="355"/>
      <c r="AB4" s="355"/>
      <c r="AC4" s="355"/>
      <c r="AD4" s="355"/>
      <c r="AE4" s="355"/>
      <c r="AF4" s="355"/>
    </row>
    <row r="5" spans="1:34" s="57" customFormat="1" ht="15.75" thickBot="1" x14ac:dyDescent="0.3">
      <c r="D5" s="356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Z5" s="109" t="s">
        <v>81</v>
      </c>
      <c r="AA5" s="351" t="s">
        <v>82</v>
      </c>
      <c r="AB5" s="351"/>
      <c r="AC5" s="351" t="s">
        <v>83</v>
      </c>
      <c r="AD5" s="351"/>
      <c r="AE5" s="109" t="s">
        <v>84</v>
      </c>
      <c r="AF5" s="109" t="s">
        <v>85</v>
      </c>
    </row>
    <row r="6" spans="1:34" s="30" customFormat="1" ht="92.25" customHeight="1" x14ac:dyDescent="0.25">
      <c r="A6" s="71" t="s">
        <v>1</v>
      </c>
      <c r="B6" s="72" t="s">
        <v>217</v>
      </c>
      <c r="C6" s="72" t="s">
        <v>102</v>
      </c>
      <c r="D6" s="73" t="s">
        <v>226</v>
      </c>
      <c r="E6" s="73" t="s">
        <v>342</v>
      </c>
      <c r="F6" s="73" t="s">
        <v>11</v>
      </c>
      <c r="G6" s="73" t="s">
        <v>3</v>
      </c>
      <c r="H6" s="74" t="s">
        <v>227</v>
      </c>
      <c r="I6" s="73" t="s">
        <v>117</v>
      </c>
      <c r="J6" s="73" t="s">
        <v>295</v>
      </c>
      <c r="K6" s="73" t="s">
        <v>307</v>
      </c>
      <c r="L6" s="73" t="s">
        <v>297</v>
      </c>
      <c r="M6" s="74" t="s">
        <v>120</v>
      </c>
      <c r="N6" s="74" t="s">
        <v>121</v>
      </c>
      <c r="O6" s="74" t="s">
        <v>108</v>
      </c>
      <c r="P6" s="124" t="s">
        <v>132</v>
      </c>
      <c r="Q6" s="117" t="s">
        <v>232</v>
      </c>
      <c r="R6" s="117" t="s">
        <v>233</v>
      </c>
      <c r="S6" s="79" t="s">
        <v>128</v>
      </c>
      <c r="T6" s="117" t="s">
        <v>234</v>
      </c>
      <c r="U6" s="117" t="s">
        <v>235</v>
      </c>
      <c r="V6" s="79" t="s">
        <v>129</v>
      </c>
      <c r="W6" s="79" t="s">
        <v>182</v>
      </c>
      <c r="X6" s="79" t="s">
        <v>228</v>
      </c>
      <c r="Z6" s="302" t="s">
        <v>305</v>
      </c>
      <c r="AA6" s="122" t="s">
        <v>303</v>
      </c>
      <c r="AB6" s="126" t="s">
        <v>308</v>
      </c>
      <c r="AC6" s="122" t="s">
        <v>317</v>
      </c>
      <c r="AD6" s="126" t="s">
        <v>291</v>
      </c>
      <c r="AE6" s="122" t="s">
        <v>133</v>
      </c>
      <c r="AF6" s="122" t="s">
        <v>133</v>
      </c>
    </row>
    <row r="7" spans="1:34" s="30" customFormat="1" ht="27" customHeight="1" x14ac:dyDescent="0.25">
      <c r="A7" s="11" t="s">
        <v>17</v>
      </c>
      <c r="B7" s="17"/>
      <c r="C7" s="17"/>
      <c r="D7" s="276">
        <v>21</v>
      </c>
      <c r="E7" s="276">
        <v>14</v>
      </c>
      <c r="F7" s="276"/>
      <c r="G7" s="276">
        <v>35</v>
      </c>
      <c r="H7" s="286">
        <v>0</v>
      </c>
      <c r="I7" s="276">
        <v>6</v>
      </c>
      <c r="J7" s="276">
        <v>4</v>
      </c>
      <c r="K7" s="276">
        <v>6</v>
      </c>
      <c r="L7" s="276">
        <v>4</v>
      </c>
      <c r="M7" s="3">
        <f>D7+(E7*I7)</f>
        <v>105</v>
      </c>
      <c r="N7" s="3">
        <f>D7+(E7*K7)</f>
        <v>105</v>
      </c>
      <c r="O7" s="3">
        <f>M7+N7</f>
        <v>210</v>
      </c>
      <c r="P7" s="23">
        <f>O7*$I$1</f>
        <v>441000</v>
      </c>
      <c r="Q7" s="276"/>
      <c r="R7" s="276"/>
      <c r="S7" s="3">
        <f>(Q7+R7)*$I$2*$D$1*0.4</f>
        <v>0</v>
      </c>
      <c r="T7" s="276"/>
      <c r="U7" s="276"/>
      <c r="V7" s="3">
        <f>(T7+U7)*$I$2*$D$1*0.4</f>
        <v>0</v>
      </c>
      <c r="W7" s="3">
        <f t="shared" ref="W7:W15" si="0">(S7+V7)/$I$1+O7</f>
        <v>210</v>
      </c>
      <c r="X7" s="3"/>
      <c r="Z7" s="289"/>
      <c r="AA7" s="58">
        <f>IF(AB7&gt;0,(O7-D7*2)*(J7+L7)/(I7+K7),0)</f>
        <v>112</v>
      </c>
      <c r="AB7" s="258">
        <f>SUM(J7,L7)</f>
        <v>8</v>
      </c>
      <c r="AC7" s="58" t="e">
        <f>IF(AD7&gt;0,O7*(#REF!+#REF!)/(#REF!+#REF!),0)</f>
        <v>#REF!</v>
      </c>
      <c r="AD7" s="258" t="e">
        <f>SUM(#REF!,#REF!)</f>
        <v>#REF!</v>
      </c>
      <c r="AE7" s="1"/>
      <c r="AF7" s="1"/>
    </row>
    <row r="8" spans="1:34" x14ac:dyDescent="0.25">
      <c r="A8" s="11" t="s">
        <v>40</v>
      </c>
      <c r="B8" s="59"/>
      <c r="C8" s="59"/>
      <c r="D8" s="276"/>
      <c r="E8" s="276"/>
      <c r="F8" s="276"/>
      <c r="G8" s="276"/>
      <c r="H8" s="287"/>
      <c r="I8" s="285"/>
      <c r="J8" s="285"/>
      <c r="K8" s="285"/>
      <c r="L8" s="285"/>
      <c r="M8" s="1"/>
      <c r="N8" s="1"/>
      <c r="O8" s="1"/>
      <c r="P8" s="23"/>
      <c r="Q8" s="276"/>
      <c r="R8" s="276"/>
      <c r="S8" s="3"/>
      <c r="T8" s="276"/>
      <c r="U8" s="276"/>
      <c r="V8" s="3"/>
      <c r="W8" s="3">
        <f t="shared" si="0"/>
        <v>0</v>
      </c>
      <c r="X8" s="3"/>
      <c r="Z8" s="289"/>
      <c r="AA8" s="58"/>
      <c r="AB8" s="258"/>
      <c r="AC8" s="58"/>
      <c r="AD8" s="258"/>
      <c r="AE8" s="1"/>
      <c r="AF8" s="1"/>
    </row>
    <row r="9" spans="1:34" x14ac:dyDescent="0.25">
      <c r="A9" s="11" t="s">
        <v>105</v>
      </c>
      <c r="B9" s="59">
        <v>20</v>
      </c>
      <c r="C9" s="59">
        <f>B9*$B$3*2</f>
        <v>960</v>
      </c>
      <c r="D9" s="276"/>
      <c r="E9" s="276"/>
      <c r="F9" s="276"/>
      <c r="G9" s="276"/>
      <c r="H9" s="286"/>
      <c r="I9" s="276"/>
      <c r="J9" s="276"/>
      <c r="K9" s="276"/>
      <c r="L9" s="276"/>
      <c r="M9" s="3"/>
      <c r="N9" s="3"/>
      <c r="O9" s="3"/>
      <c r="P9" s="23"/>
      <c r="Q9" s="276"/>
      <c r="R9" s="276"/>
      <c r="S9" s="3"/>
      <c r="T9" s="276"/>
      <c r="U9" s="276"/>
      <c r="V9" s="3"/>
      <c r="W9" s="3">
        <f t="shared" si="0"/>
        <v>0</v>
      </c>
      <c r="X9" s="3"/>
      <c r="Z9" s="289"/>
      <c r="AA9" s="58"/>
      <c r="AB9" s="258"/>
      <c r="AC9" s="58"/>
      <c r="AD9" s="258"/>
      <c r="AE9" s="1"/>
      <c r="AF9" s="1"/>
    </row>
    <row r="10" spans="1:34" x14ac:dyDescent="0.25">
      <c r="A10" s="10" t="s">
        <v>13</v>
      </c>
      <c r="B10" s="17">
        <v>10</v>
      </c>
      <c r="C10" s="59">
        <f>B10*$B$3*2</f>
        <v>480</v>
      </c>
      <c r="D10" s="276">
        <v>22</v>
      </c>
      <c r="E10" s="276">
        <v>14</v>
      </c>
      <c r="F10" s="276"/>
      <c r="G10" s="276">
        <v>35</v>
      </c>
      <c r="H10" s="276">
        <v>0</v>
      </c>
      <c r="I10" s="276">
        <v>6</v>
      </c>
      <c r="J10" s="276">
        <v>2</v>
      </c>
      <c r="K10" s="276">
        <v>6</v>
      </c>
      <c r="L10" s="276">
        <v>2</v>
      </c>
      <c r="M10" s="3">
        <f t="shared" ref="M10:M15" si="1">D10+(E10*I10)</f>
        <v>106</v>
      </c>
      <c r="N10" s="3">
        <f t="shared" ref="N10:N15" si="2">D10+(E10*K10)</f>
        <v>106</v>
      </c>
      <c r="O10" s="3">
        <f t="shared" ref="O10:O15" si="3">M10+N10</f>
        <v>212</v>
      </c>
      <c r="P10" s="23">
        <f t="shared" ref="P10:P15" si="4">O10*$I$1</f>
        <v>445200</v>
      </c>
      <c r="Q10" s="276">
        <v>1</v>
      </c>
      <c r="R10" s="276">
        <v>1</v>
      </c>
      <c r="S10" s="3">
        <f t="shared" ref="S10:S15" si="5">(Q10+R10)*$I$2*$D$1*0.4</f>
        <v>58480</v>
      </c>
      <c r="T10" s="276">
        <v>1</v>
      </c>
      <c r="U10" s="276">
        <v>1</v>
      </c>
      <c r="V10" s="3">
        <f t="shared" ref="V10:V15" si="6">(T10+U10)*$I$2*$D$1*0.4</f>
        <v>58480</v>
      </c>
      <c r="W10" s="3">
        <f t="shared" si="0"/>
        <v>267.6952380952381</v>
      </c>
      <c r="X10" s="3"/>
      <c r="Z10" s="289">
        <v>4</v>
      </c>
      <c r="AA10" s="58">
        <f t="shared" ref="AA10:AA15" si="7">IF(AB10&gt;0,(O10-D10*2)*(J10+L10)/(I10+K10),0)</f>
        <v>56</v>
      </c>
      <c r="AB10" s="258">
        <f t="shared" ref="AB10:AB15" si="8">SUM(J10,L10)</f>
        <v>4</v>
      </c>
      <c r="AC10" s="58" t="e">
        <f>IF(AD10&gt;0,(#REF!+#REF!)/(#REF!+#REF!)*#REF!*(#REF!+#REF!),0)</f>
        <v>#REF!</v>
      </c>
      <c r="AD10" s="258" t="e">
        <f>SUM(#REF!,#REF!)</f>
        <v>#REF!</v>
      </c>
      <c r="AE10" s="3"/>
      <c r="AF10" s="1"/>
    </row>
    <row r="11" spans="1:34" x14ac:dyDescent="0.25">
      <c r="A11" s="1" t="s">
        <v>324</v>
      </c>
      <c r="B11" s="64">
        <v>5</v>
      </c>
      <c r="C11" s="63">
        <f>B11*$B$3*2</f>
        <v>240</v>
      </c>
      <c r="D11" s="275">
        <v>12</v>
      </c>
      <c r="E11" s="275">
        <v>10</v>
      </c>
      <c r="F11" s="275"/>
      <c r="G11" s="276">
        <v>35</v>
      </c>
      <c r="H11" s="276"/>
      <c r="I11" s="275">
        <v>6</v>
      </c>
      <c r="J11" s="275">
        <v>2</v>
      </c>
      <c r="K11" s="276">
        <v>6</v>
      </c>
      <c r="L11" s="276">
        <v>2</v>
      </c>
      <c r="M11" s="3">
        <f t="shared" si="1"/>
        <v>72</v>
      </c>
      <c r="N11" s="3">
        <f t="shared" si="2"/>
        <v>72</v>
      </c>
      <c r="O11" s="3">
        <f t="shared" si="3"/>
        <v>144</v>
      </c>
      <c r="P11" s="23">
        <f t="shared" si="4"/>
        <v>302400</v>
      </c>
      <c r="Q11" s="276"/>
      <c r="R11" s="276"/>
      <c r="S11" s="3">
        <f t="shared" si="5"/>
        <v>0</v>
      </c>
      <c r="T11" s="276">
        <v>1</v>
      </c>
      <c r="U11" s="276">
        <v>1</v>
      </c>
      <c r="V11" s="3">
        <f t="shared" si="6"/>
        <v>58480</v>
      </c>
      <c r="W11" s="3">
        <f t="shared" si="0"/>
        <v>171.84761904761905</v>
      </c>
      <c r="X11" s="1"/>
      <c r="Z11" s="285"/>
      <c r="AA11" s="58">
        <f t="shared" si="7"/>
        <v>40</v>
      </c>
      <c r="AB11" s="258">
        <f t="shared" si="8"/>
        <v>4</v>
      </c>
      <c r="AC11" s="58" t="e">
        <f>IF(AD11&gt;0,(#REF!+#REF!)/(#REF!+#REF!)*#REF!*(#REF!+#REF!),0)</f>
        <v>#REF!</v>
      </c>
      <c r="AD11" s="258" t="e">
        <f>SUM(#REF!,#REF!)</f>
        <v>#REF!</v>
      </c>
      <c r="AE11" s="58"/>
      <c r="AF11" s="258"/>
      <c r="AG11" s="3"/>
      <c r="AH11" s="1"/>
    </row>
    <row r="12" spans="1:34" x14ac:dyDescent="0.25">
      <c r="A12" s="10" t="s">
        <v>15</v>
      </c>
      <c r="B12" s="17">
        <v>5</v>
      </c>
      <c r="C12" s="59">
        <f>B12*$B$3*2</f>
        <v>240</v>
      </c>
      <c r="D12" s="276">
        <v>12</v>
      </c>
      <c r="E12" s="276">
        <v>10</v>
      </c>
      <c r="F12" s="276"/>
      <c r="G12" s="276">
        <v>35</v>
      </c>
      <c r="H12" s="276">
        <v>0</v>
      </c>
      <c r="I12" s="276">
        <v>6</v>
      </c>
      <c r="J12" s="276">
        <v>2</v>
      </c>
      <c r="K12" s="276">
        <v>6</v>
      </c>
      <c r="L12" s="276">
        <v>2</v>
      </c>
      <c r="M12" s="3">
        <f t="shared" si="1"/>
        <v>72</v>
      </c>
      <c r="N12" s="3">
        <f t="shared" si="2"/>
        <v>72</v>
      </c>
      <c r="O12" s="3">
        <f t="shared" si="3"/>
        <v>144</v>
      </c>
      <c r="P12" s="23">
        <f t="shared" si="4"/>
        <v>302400</v>
      </c>
      <c r="Q12" s="276"/>
      <c r="R12" s="276"/>
      <c r="S12" s="3">
        <f t="shared" si="5"/>
        <v>0</v>
      </c>
      <c r="T12" s="276"/>
      <c r="U12" s="276"/>
      <c r="V12" s="3">
        <f t="shared" si="6"/>
        <v>0</v>
      </c>
      <c r="W12" s="3">
        <f t="shared" si="0"/>
        <v>144</v>
      </c>
      <c r="X12" s="3"/>
      <c r="Z12" s="289"/>
      <c r="AA12" s="58">
        <f t="shared" si="7"/>
        <v>40</v>
      </c>
      <c r="AB12" s="258">
        <f t="shared" si="8"/>
        <v>4</v>
      </c>
      <c r="AC12" s="58" t="e">
        <f>IF(AD12&gt;0,(#REF!+#REF!)/(#REF!+#REF!)*#REF!*(#REF!+#REF!),0)</f>
        <v>#REF!</v>
      </c>
      <c r="AD12" s="258" t="e">
        <f>SUM(#REF!,#REF!)</f>
        <v>#REF!</v>
      </c>
      <c r="AE12" s="3"/>
      <c r="AF12" s="1"/>
    </row>
    <row r="13" spans="1:34" x14ac:dyDescent="0.25">
      <c r="A13" s="10" t="s">
        <v>327</v>
      </c>
      <c r="B13" s="17"/>
      <c r="C13" s="59"/>
      <c r="D13" s="276"/>
      <c r="E13" s="319">
        <v>0.25</v>
      </c>
      <c r="F13" s="276"/>
      <c r="G13" s="276">
        <v>4</v>
      </c>
      <c r="H13" s="276"/>
      <c r="I13" s="276">
        <v>45</v>
      </c>
      <c r="J13" s="276">
        <v>15</v>
      </c>
      <c r="K13" s="276">
        <v>45</v>
      </c>
      <c r="L13" s="276">
        <v>15</v>
      </c>
      <c r="M13" s="3">
        <f t="shared" si="1"/>
        <v>11.25</v>
      </c>
      <c r="N13" s="3">
        <f t="shared" si="2"/>
        <v>11.25</v>
      </c>
      <c r="O13" s="3">
        <f t="shared" si="3"/>
        <v>22.5</v>
      </c>
      <c r="P13" s="23">
        <f t="shared" si="4"/>
        <v>47250</v>
      </c>
      <c r="Q13" s="276"/>
      <c r="R13" s="276"/>
      <c r="S13" s="3">
        <f t="shared" si="5"/>
        <v>0</v>
      </c>
      <c r="T13" s="276"/>
      <c r="U13" s="276"/>
      <c r="V13" s="3">
        <f t="shared" si="6"/>
        <v>0</v>
      </c>
      <c r="W13" s="3">
        <f t="shared" si="0"/>
        <v>22.5</v>
      </c>
      <c r="X13" s="3"/>
      <c r="Z13" s="289"/>
      <c r="AA13" s="58">
        <f t="shared" si="7"/>
        <v>7.5</v>
      </c>
      <c r="AB13" s="258">
        <f t="shared" si="8"/>
        <v>30</v>
      </c>
      <c r="AC13" s="58" t="e">
        <f>IF(AD13&gt;0,(#REF!+#REF!)/(#REF!+#REF!)*#REF!*(#REF!+#REF!),0)</f>
        <v>#REF!</v>
      </c>
      <c r="AD13" s="258" t="e">
        <f>SUM(#REF!,#REF!)</f>
        <v>#REF!</v>
      </c>
      <c r="AE13" s="3"/>
      <c r="AF13" s="1"/>
    </row>
    <row r="14" spans="1:34" x14ac:dyDescent="0.25">
      <c r="A14" s="10" t="s">
        <v>16</v>
      </c>
      <c r="B14" s="17"/>
      <c r="C14" s="17"/>
      <c r="D14" s="276">
        <v>2</v>
      </c>
      <c r="E14" s="276">
        <v>6</v>
      </c>
      <c r="F14" s="276"/>
      <c r="G14" s="276">
        <v>35</v>
      </c>
      <c r="H14" s="276"/>
      <c r="I14" s="276">
        <v>6</v>
      </c>
      <c r="J14" s="276">
        <v>3</v>
      </c>
      <c r="K14" s="276">
        <v>6</v>
      </c>
      <c r="L14" s="276">
        <v>3</v>
      </c>
      <c r="M14" s="3">
        <f t="shared" si="1"/>
        <v>38</v>
      </c>
      <c r="N14" s="3">
        <f t="shared" si="2"/>
        <v>38</v>
      </c>
      <c r="O14" s="3">
        <f t="shared" si="3"/>
        <v>76</v>
      </c>
      <c r="P14" s="23">
        <f t="shared" si="4"/>
        <v>159600</v>
      </c>
      <c r="Q14" s="276"/>
      <c r="R14" s="276"/>
      <c r="S14" s="3">
        <f t="shared" si="5"/>
        <v>0</v>
      </c>
      <c r="T14" s="276"/>
      <c r="U14" s="276"/>
      <c r="V14" s="3">
        <f t="shared" si="6"/>
        <v>0</v>
      </c>
      <c r="W14" s="3">
        <f t="shared" si="0"/>
        <v>76</v>
      </c>
      <c r="X14" s="3"/>
      <c r="Z14" s="289"/>
      <c r="AA14" s="58">
        <f t="shared" si="7"/>
        <v>36</v>
      </c>
      <c r="AB14" s="258">
        <f t="shared" si="8"/>
        <v>6</v>
      </c>
      <c r="AC14" s="58" t="e">
        <f>IF(AD14&gt;0,(#REF!+#REF!)/(#REF!+#REF!)*#REF!*(#REF!+#REF!),0)</f>
        <v>#REF!</v>
      </c>
      <c r="AD14" s="258" t="e">
        <f>SUM(#REF!,#REF!)</f>
        <v>#REF!</v>
      </c>
      <c r="AE14" s="3"/>
      <c r="AF14" s="1"/>
    </row>
    <row r="15" spans="1:34" x14ac:dyDescent="0.25">
      <c r="A15" s="10" t="s">
        <v>306</v>
      </c>
      <c r="B15" s="67"/>
      <c r="C15" s="67"/>
      <c r="D15" s="276">
        <v>6</v>
      </c>
      <c r="E15" s="276"/>
      <c r="F15" s="276"/>
      <c r="G15" s="276"/>
      <c r="H15" s="286"/>
      <c r="I15" s="276"/>
      <c r="J15" s="276"/>
      <c r="K15" s="276"/>
      <c r="L15" s="276"/>
      <c r="M15" s="3">
        <f t="shared" si="1"/>
        <v>6</v>
      </c>
      <c r="N15" s="3">
        <f t="shared" si="2"/>
        <v>6</v>
      </c>
      <c r="O15" s="3">
        <f t="shared" si="3"/>
        <v>12</v>
      </c>
      <c r="P15" s="23">
        <f t="shared" si="4"/>
        <v>25200</v>
      </c>
      <c r="Q15" s="276"/>
      <c r="R15" s="276"/>
      <c r="S15" s="3">
        <f t="shared" si="5"/>
        <v>0</v>
      </c>
      <c r="T15" s="276"/>
      <c r="U15" s="276"/>
      <c r="V15" s="3">
        <f t="shared" si="6"/>
        <v>0</v>
      </c>
      <c r="W15" s="3">
        <f t="shared" si="0"/>
        <v>12</v>
      </c>
      <c r="X15" s="3"/>
      <c r="Z15" s="289"/>
      <c r="AA15" s="58">
        <f t="shared" si="7"/>
        <v>0</v>
      </c>
      <c r="AB15" s="258">
        <f t="shared" si="8"/>
        <v>0</v>
      </c>
      <c r="AC15" s="58" t="e">
        <f>IF(AD15&gt;0,(#REF!+#REF!)/(#REF!+#REF!)*#REF!*(#REF!+#REF!),0)</f>
        <v>#REF!</v>
      </c>
      <c r="AD15" s="258" t="e">
        <f>SUM(#REF!,#REF!)</f>
        <v>#REF!</v>
      </c>
      <c r="AE15" s="3"/>
      <c r="AF15" s="1"/>
    </row>
    <row r="16" spans="1:34" x14ac:dyDescent="0.25">
      <c r="A16" s="12"/>
      <c r="B16" s="67"/>
      <c r="C16" s="67"/>
      <c r="D16" s="276"/>
      <c r="E16" s="276"/>
      <c r="F16" s="276"/>
      <c r="G16" s="276"/>
      <c r="H16" s="286"/>
      <c r="I16" s="276"/>
      <c r="J16" s="276"/>
      <c r="K16" s="276"/>
      <c r="L16" s="276"/>
      <c r="M16" s="3"/>
      <c r="N16" s="3"/>
      <c r="O16" s="3"/>
      <c r="P16" s="23"/>
      <c r="Q16" s="276"/>
      <c r="R16" s="276"/>
      <c r="S16" s="3"/>
      <c r="T16" s="276"/>
      <c r="U16" s="276"/>
      <c r="V16" s="3"/>
      <c r="W16" s="3"/>
      <c r="X16" s="3"/>
      <c r="Z16" s="289"/>
      <c r="AA16" s="58"/>
      <c r="AB16" s="258"/>
      <c r="AC16" s="58"/>
      <c r="AD16" s="258"/>
      <c r="AE16" s="1"/>
      <c r="AF16" s="1"/>
    </row>
    <row r="17" spans="1:32" x14ac:dyDescent="0.25">
      <c r="A17" s="11" t="s">
        <v>41</v>
      </c>
      <c r="B17" s="59"/>
      <c r="C17" s="59"/>
      <c r="D17" s="276"/>
      <c r="E17" s="276"/>
      <c r="F17" s="276"/>
      <c r="G17" s="276"/>
      <c r="H17" s="286"/>
      <c r="I17" s="276"/>
      <c r="J17" s="276"/>
      <c r="K17" s="276"/>
      <c r="L17" s="276"/>
      <c r="M17" s="3"/>
      <c r="N17" s="3"/>
      <c r="O17" s="3"/>
      <c r="P17" s="23"/>
      <c r="Q17" s="276"/>
      <c r="R17" s="276"/>
      <c r="S17" s="3"/>
      <c r="T17" s="276"/>
      <c r="U17" s="276"/>
      <c r="V17" s="3"/>
      <c r="W17" s="3">
        <f t="shared" ref="W17:W25" si="9">(S17+V17)/$I$1+O17</f>
        <v>0</v>
      </c>
      <c r="X17" s="3"/>
      <c r="Z17" s="289"/>
      <c r="AA17" s="58"/>
      <c r="AB17" s="258"/>
      <c r="AC17" s="58"/>
      <c r="AD17" s="258"/>
      <c r="AE17" s="1"/>
      <c r="AF17" s="1"/>
    </row>
    <row r="18" spans="1:32" x14ac:dyDescent="0.25">
      <c r="A18" s="11" t="s">
        <v>106</v>
      </c>
      <c r="B18" s="59">
        <v>30</v>
      </c>
      <c r="C18" s="59">
        <f>B18*$B$3*2</f>
        <v>1440</v>
      </c>
      <c r="D18" s="276"/>
      <c r="E18" s="276"/>
      <c r="F18" s="276"/>
      <c r="G18" s="276"/>
      <c r="H18" s="276"/>
      <c r="I18" s="276"/>
      <c r="J18" s="276"/>
      <c r="K18" s="276"/>
      <c r="L18" s="276"/>
      <c r="M18" s="3"/>
      <c r="N18" s="3"/>
      <c r="O18" s="3"/>
      <c r="P18" s="23"/>
      <c r="Q18" s="276"/>
      <c r="R18" s="276"/>
      <c r="S18" s="3"/>
      <c r="T18" s="276"/>
      <c r="U18" s="276"/>
      <c r="V18" s="3"/>
      <c r="W18" s="3">
        <f t="shared" si="9"/>
        <v>0</v>
      </c>
      <c r="X18" s="3"/>
      <c r="Z18" s="289"/>
      <c r="AA18" s="58"/>
      <c r="AB18" s="258"/>
      <c r="AC18" s="58"/>
      <c r="AD18" s="258"/>
      <c r="AE18" s="1"/>
      <c r="AF18" s="1"/>
    </row>
    <row r="19" spans="1:32" x14ac:dyDescent="0.25">
      <c r="A19" s="10" t="s">
        <v>24</v>
      </c>
      <c r="B19" s="17">
        <v>13</v>
      </c>
      <c r="C19" s="59">
        <f>B19*$B$3*2</f>
        <v>624</v>
      </c>
      <c r="D19" s="276">
        <v>18</v>
      </c>
      <c r="E19" s="276">
        <v>16</v>
      </c>
      <c r="F19" s="276"/>
      <c r="G19" s="276">
        <v>35</v>
      </c>
      <c r="H19" s="276">
        <v>12</v>
      </c>
      <c r="I19" s="276">
        <v>6</v>
      </c>
      <c r="J19" s="276">
        <v>1</v>
      </c>
      <c r="K19" s="276">
        <v>6</v>
      </c>
      <c r="L19" s="276">
        <v>1</v>
      </c>
      <c r="M19" s="3">
        <f t="shared" ref="M19:M25" si="10">D19+(E19*I19)</f>
        <v>114</v>
      </c>
      <c r="N19" s="3">
        <f t="shared" ref="N19:N25" si="11">D19+(E19*K19)</f>
        <v>114</v>
      </c>
      <c r="O19" s="3">
        <f t="shared" ref="O19:O27" si="12">M19+N19</f>
        <v>228</v>
      </c>
      <c r="P19" s="23">
        <f t="shared" ref="P19:P25" si="13">O19*$I$1</f>
        <v>478800</v>
      </c>
      <c r="Q19" s="276">
        <v>1</v>
      </c>
      <c r="R19" s="276">
        <v>1</v>
      </c>
      <c r="S19" s="3">
        <f t="shared" ref="S19:S25" si="14">(Q19+R19)*$I$2*$D$1*0.4</f>
        <v>58480</v>
      </c>
      <c r="T19" s="276">
        <v>1</v>
      </c>
      <c r="U19" s="276">
        <v>1</v>
      </c>
      <c r="V19" s="3">
        <f t="shared" ref="V19:V25" si="15">(T19+U19)*$I$2*$D$1*0.4</f>
        <v>58480</v>
      </c>
      <c r="W19" s="3">
        <f t="shared" si="9"/>
        <v>283.6952380952381</v>
      </c>
      <c r="X19" s="3"/>
      <c r="Z19" s="276">
        <v>8</v>
      </c>
      <c r="AA19" s="58">
        <f t="shared" ref="AA19:AA28" si="16">IF(AB19&gt;0,(O19-D19*2)*(J19+L19)/(I19+K19),0)</f>
        <v>32</v>
      </c>
      <c r="AB19" s="258">
        <f t="shared" ref="AB19:AB28" si="17">SUM(J19,L19)</f>
        <v>2</v>
      </c>
      <c r="AC19" s="58" t="e">
        <f>IF(AD19&gt;0,(#REF!+#REF!)/(#REF!+#REF!)*#REF!*(#REF!+#REF!),0)</f>
        <v>#REF!</v>
      </c>
      <c r="AD19" s="258" t="e">
        <f>SUM(#REF!,#REF!)</f>
        <v>#REF!</v>
      </c>
      <c r="AE19" s="3"/>
      <c r="AF19" s="1"/>
    </row>
    <row r="20" spans="1:32" x14ac:dyDescent="0.25">
      <c r="A20" s="10" t="s">
        <v>25</v>
      </c>
      <c r="B20" s="17">
        <v>7</v>
      </c>
      <c r="C20" s="59">
        <f>B20*$B$3*2</f>
        <v>336</v>
      </c>
      <c r="D20" s="276">
        <v>16</v>
      </c>
      <c r="E20" s="276">
        <v>8</v>
      </c>
      <c r="F20" s="276"/>
      <c r="G20" s="276">
        <v>35</v>
      </c>
      <c r="H20" s="276">
        <v>12</v>
      </c>
      <c r="I20" s="276">
        <v>6</v>
      </c>
      <c r="J20" s="276">
        <v>2</v>
      </c>
      <c r="K20" s="276">
        <v>6</v>
      </c>
      <c r="L20" s="276">
        <v>2</v>
      </c>
      <c r="M20" s="3">
        <f t="shared" si="10"/>
        <v>64</v>
      </c>
      <c r="N20" s="3">
        <f t="shared" si="11"/>
        <v>64</v>
      </c>
      <c r="O20" s="3">
        <f t="shared" si="12"/>
        <v>128</v>
      </c>
      <c r="P20" s="23">
        <f t="shared" si="13"/>
        <v>268800</v>
      </c>
      <c r="Q20" s="276"/>
      <c r="R20" s="276"/>
      <c r="S20" s="3">
        <f t="shared" si="14"/>
        <v>0</v>
      </c>
      <c r="T20" s="276"/>
      <c r="U20" s="276"/>
      <c r="V20" s="3">
        <f t="shared" si="15"/>
        <v>0</v>
      </c>
      <c r="W20" s="3">
        <f t="shared" si="9"/>
        <v>128</v>
      </c>
      <c r="X20" s="3"/>
      <c r="Z20" s="289"/>
      <c r="AA20" s="58">
        <f t="shared" si="16"/>
        <v>32</v>
      </c>
      <c r="AB20" s="258">
        <f t="shared" si="17"/>
        <v>4</v>
      </c>
      <c r="AC20" s="58" t="e">
        <f>IF(AD20&gt;0,(#REF!+#REF!)/(#REF!+#REF!)*#REF!*(#REF!+#REF!),0)</f>
        <v>#REF!</v>
      </c>
      <c r="AD20" s="258" t="e">
        <f>SUM(#REF!,#REF!)</f>
        <v>#REF!</v>
      </c>
      <c r="AE20" s="3"/>
      <c r="AF20" s="1"/>
    </row>
    <row r="21" spans="1:32" x14ac:dyDescent="0.25">
      <c r="A21" s="10" t="s">
        <v>26</v>
      </c>
      <c r="B21" s="17">
        <v>5</v>
      </c>
      <c r="C21" s="59">
        <f>B21*$B$3*2</f>
        <v>240</v>
      </c>
      <c r="D21" s="276">
        <v>10</v>
      </c>
      <c r="E21" s="276">
        <v>8</v>
      </c>
      <c r="F21" s="276"/>
      <c r="G21" s="276">
        <v>35</v>
      </c>
      <c r="H21" s="276">
        <v>12</v>
      </c>
      <c r="I21" s="276">
        <v>6</v>
      </c>
      <c r="J21" s="276">
        <v>2</v>
      </c>
      <c r="K21" s="276">
        <v>6</v>
      </c>
      <c r="L21" s="276">
        <v>2</v>
      </c>
      <c r="M21" s="3">
        <f t="shared" si="10"/>
        <v>58</v>
      </c>
      <c r="N21" s="3">
        <f t="shared" si="11"/>
        <v>58</v>
      </c>
      <c r="O21" s="3">
        <f t="shared" si="12"/>
        <v>116</v>
      </c>
      <c r="P21" s="23">
        <f t="shared" si="13"/>
        <v>243600</v>
      </c>
      <c r="Q21" s="276">
        <v>1</v>
      </c>
      <c r="R21" s="276">
        <v>1</v>
      </c>
      <c r="S21" s="3">
        <f t="shared" si="14"/>
        <v>58480</v>
      </c>
      <c r="T21" s="276"/>
      <c r="U21" s="276"/>
      <c r="V21" s="3">
        <f t="shared" si="15"/>
        <v>0</v>
      </c>
      <c r="W21" s="3">
        <f t="shared" si="9"/>
        <v>143.84761904761905</v>
      </c>
      <c r="X21" s="3"/>
      <c r="Z21" s="289"/>
      <c r="AA21" s="58">
        <f t="shared" si="16"/>
        <v>32</v>
      </c>
      <c r="AB21" s="258">
        <f t="shared" si="17"/>
        <v>4</v>
      </c>
      <c r="AC21" s="58" t="e">
        <f>IF(AD21&gt;0,(#REF!+#REF!)/(#REF!+#REF!)*#REF!*(#REF!+#REF!),0)</f>
        <v>#REF!</v>
      </c>
      <c r="AD21" s="258" t="e">
        <f>SUM(#REF!,#REF!)</f>
        <v>#REF!</v>
      </c>
      <c r="AE21" s="3"/>
      <c r="AF21" s="1"/>
    </row>
    <row r="22" spans="1:32" x14ac:dyDescent="0.25">
      <c r="A22" s="10" t="s">
        <v>14</v>
      </c>
      <c r="B22" s="17">
        <v>5</v>
      </c>
      <c r="C22" s="59">
        <f>B22*$B$3*2</f>
        <v>240</v>
      </c>
      <c r="D22" s="276">
        <v>10</v>
      </c>
      <c r="E22" s="276">
        <v>8</v>
      </c>
      <c r="F22" s="276"/>
      <c r="G22" s="276">
        <v>35</v>
      </c>
      <c r="H22" s="276">
        <v>0</v>
      </c>
      <c r="I22" s="276">
        <v>6</v>
      </c>
      <c r="J22" s="276">
        <v>2</v>
      </c>
      <c r="K22" s="276">
        <v>6</v>
      </c>
      <c r="L22" s="276">
        <v>2</v>
      </c>
      <c r="M22" s="3">
        <f t="shared" si="10"/>
        <v>58</v>
      </c>
      <c r="N22" s="3">
        <f t="shared" si="11"/>
        <v>58</v>
      </c>
      <c r="O22" s="3">
        <f>M22+N22</f>
        <v>116</v>
      </c>
      <c r="P22" s="23">
        <f t="shared" si="13"/>
        <v>243600</v>
      </c>
      <c r="Q22" s="276"/>
      <c r="R22" s="276"/>
      <c r="S22" s="3">
        <f t="shared" si="14"/>
        <v>0</v>
      </c>
      <c r="T22" s="276"/>
      <c r="U22" s="276"/>
      <c r="V22" s="3">
        <f t="shared" si="15"/>
        <v>0</v>
      </c>
      <c r="W22" s="3">
        <f t="shared" si="9"/>
        <v>116</v>
      </c>
      <c r="X22" s="3"/>
      <c r="Z22" s="289"/>
      <c r="AA22" s="58">
        <f t="shared" si="16"/>
        <v>32</v>
      </c>
      <c r="AB22" s="258">
        <f t="shared" si="17"/>
        <v>4</v>
      </c>
      <c r="AC22" s="58" t="e">
        <f>IF(AD22&gt;0,(#REF!+#REF!)/(#REF!+#REF!)*#REF!*(#REF!+#REF!),0)</f>
        <v>#REF!</v>
      </c>
      <c r="AD22" s="258" t="e">
        <f>SUM(#REF!,#REF!)</f>
        <v>#REF!</v>
      </c>
      <c r="AE22" s="3"/>
      <c r="AF22" s="1"/>
    </row>
    <row r="23" spans="1:32" x14ac:dyDescent="0.25">
      <c r="A23" s="10" t="s">
        <v>58</v>
      </c>
      <c r="B23" s="17"/>
      <c r="C23" s="17"/>
      <c r="D23" s="276">
        <v>6</v>
      </c>
      <c r="E23" s="276"/>
      <c r="F23" s="276"/>
      <c r="G23" s="276"/>
      <c r="H23" s="276">
        <v>12</v>
      </c>
      <c r="I23" s="276"/>
      <c r="J23" s="276"/>
      <c r="K23" s="276"/>
      <c r="L23" s="276"/>
      <c r="M23" s="3">
        <f t="shared" si="10"/>
        <v>6</v>
      </c>
      <c r="N23" s="3">
        <f t="shared" si="11"/>
        <v>6</v>
      </c>
      <c r="O23" s="3">
        <f t="shared" si="12"/>
        <v>12</v>
      </c>
      <c r="P23" s="23">
        <f t="shared" si="13"/>
        <v>25200</v>
      </c>
      <c r="Q23" s="276"/>
      <c r="R23" s="276"/>
      <c r="S23" s="3">
        <f t="shared" si="14"/>
        <v>0</v>
      </c>
      <c r="T23" s="276"/>
      <c r="U23" s="276"/>
      <c r="V23" s="3">
        <f t="shared" si="15"/>
        <v>0</v>
      </c>
      <c r="W23" s="3">
        <f t="shared" si="9"/>
        <v>12</v>
      </c>
      <c r="X23" s="3"/>
      <c r="Z23" s="276">
        <v>0</v>
      </c>
      <c r="AA23" s="58">
        <f t="shared" si="16"/>
        <v>0</v>
      </c>
      <c r="AB23" s="258">
        <f t="shared" si="17"/>
        <v>0</v>
      </c>
      <c r="AC23" s="58" t="e">
        <f>IF(AD23&gt;0,(#REF!+#REF!)/(#REF!+#REF!)*#REF!*(#REF!+#REF!),0)</f>
        <v>#REF!</v>
      </c>
      <c r="AD23" s="258" t="e">
        <f>SUM(#REF!,#REF!)</f>
        <v>#REF!</v>
      </c>
      <c r="AE23" s="3"/>
      <c r="AF23" s="1"/>
    </row>
    <row r="24" spans="1:32" x14ac:dyDescent="0.25">
      <c r="A24" s="10" t="s">
        <v>27</v>
      </c>
      <c r="B24" s="17"/>
      <c r="C24" s="17"/>
      <c r="D24" s="276"/>
      <c r="E24" s="276"/>
      <c r="F24" s="276"/>
      <c r="G24" s="276">
        <v>0</v>
      </c>
      <c r="H24" s="276">
        <v>12</v>
      </c>
      <c r="I24" s="276">
        <v>0</v>
      </c>
      <c r="J24" s="276">
        <v>0</v>
      </c>
      <c r="K24" s="276">
        <v>0</v>
      </c>
      <c r="L24" s="276">
        <v>0</v>
      </c>
      <c r="M24" s="3">
        <f t="shared" si="10"/>
        <v>0</v>
      </c>
      <c r="N24" s="3">
        <f t="shared" si="11"/>
        <v>0</v>
      </c>
      <c r="O24" s="3">
        <f t="shared" si="12"/>
        <v>0</v>
      </c>
      <c r="P24" s="23">
        <f t="shared" si="13"/>
        <v>0</v>
      </c>
      <c r="Q24" s="276"/>
      <c r="R24" s="276"/>
      <c r="S24" s="3">
        <f t="shared" si="14"/>
        <v>0</v>
      </c>
      <c r="T24" s="276"/>
      <c r="U24" s="276"/>
      <c r="V24" s="3">
        <f t="shared" si="15"/>
        <v>0</v>
      </c>
      <c r="W24" s="3">
        <f t="shared" si="9"/>
        <v>0</v>
      </c>
      <c r="X24" s="3"/>
      <c r="Z24" s="289"/>
      <c r="AA24" s="58">
        <f t="shared" si="16"/>
        <v>0</v>
      </c>
      <c r="AB24" s="258">
        <f t="shared" si="17"/>
        <v>0</v>
      </c>
      <c r="AC24" s="58" t="e">
        <f>IF(AD24&gt;0,(#REF!+#REF!)/(#REF!+#REF!)*#REF!*(#REF!+#REF!),0)</f>
        <v>#REF!</v>
      </c>
      <c r="AD24" s="258" t="e">
        <f>SUM(#REF!,#REF!)</f>
        <v>#REF!</v>
      </c>
      <c r="AE24" s="3"/>
      <c r="AF24" s="1"/>
    </row>
    <row r="25" spans="1:32" x14ac:dyDescent="0.25">
      <c r="A25" s="10" t="s">
        <v>288</v>
      </c>
      <c r="B25" s="17"/>
      <c r="C25" s="17"/>
      <c r="D25" s="276"/>
      <c r="E25" s="276"/>
      <c r="F25" s="276"/>
      <c r="G25" s="276"/>
      <c r="H25" s="276"/>
      <c r="I25" s="276"/>
      <c r="J25" s="276"/>
      <c r="K25" s="276"/>
      <c r="L25" s="276"/>
      <c r="M25" s="3">
        <f t="shared" si="10"/>
        <v>0</v>
      </c>
      <c r="N25" s="3">
        <f t="shared" si="11"/>
        <v>0</v>
      </c>
      <c r="O25" s="3">
        <f t="shared" si="12"/>
        <v>0</v>
      </c>
      <c r="P25" s="23">
        <f t="shared" si="13"/>
        <v>0</v>
      </c>
      <c r="Q25" s="276"/>
      <c r="R25" s="276"/>
      <c r="S25" s="3">
        <f t="shared" si="14"/>
        <v>0</v>
      </c>
      <c r="T25" s="276"/>
      <c r="U25" s="276"/>
      <c r="V25" s="3">
        <f t="shared" si="15"/>
        <v>0</v>
      </c>
      <c r="W25" s="3">
        <f t="shared" si="9"/>
        <v>0</v>
      </c>
      <c r="X25" s="3"/>
      <c r="Z25" s="289"/>
      <c r="AA25" s="58">
        <f t="shared" si="16"/>
        <v>0</v>
      </c>
      <c r="AB25" s="258">
        <f t="shared" si="17"/>
        <v>0</v>
      </c>
      <c r="AC25" s="58" t="e">
        <f>IF(AD25&gt;0,(#REF!+#REF!)/(#REF!+#REF!)*#REF!*(#REF!+#REF!),0)</f>
        <v>#REF!</v>
      </c>
      <c r="AD25" s="258" t="e">
        <f>SUM(#REF!,#REF!)</f>
        <v>#REF!</v>
      </c>
      <c r="AE25" s="3"/>
      <c r="AF25" s="1"/>
    </row>
    <row r="26" spans="1:32" x14ac:dyDescent="0.25">
      <c r="A26" s="10" t="s">
        <v>16</v>
      </c>
      <c r="B26" s="17"/>
      <c r="C26" s="17"/>
      <c r="D26" s="276">
        <v>2</v>
      </c>
      <c r="E26" s="276"/>
      <c r="F26" s="276"/>
      <c r="G26" s="276"/>
      <c r="H26" s="286"/>
      <c r="I26" s="276"/>
      <c r="J26" s="276"/>
      <c r="K26" s="276"/>
      <c r="L26" s="276"/>
      <c r="M26" s="3"/>
      <c r="N26" s="3"/>
      <c r="O26" s="3"/>
      <c r="P26" s="23"/>
      <c r="Q26" s="276"/>
      <c r="R26" s="276"/>
      <c r="S26" s="3"/>
      <c r="T26" s="276"/>
      <c r="U26" s="276"/>
      <c r="V26" s="3"/>
      <c r="W26" s="3"/>
      <c r="X26" s="3"/>
      <c r="Z26" s="289"/>
      <c r="AA26" s="58">
        <f t="shared" si="16"/>
        <v>0</v>
      </c>
      <c r="AB26" s="258">
        <f t="shared" si="17"/>
        <v>0</v>
      </c>
      <c r="AC26" s="58" t="e">
        <f>IF(AD26&gt;0,(#REF!+#REF!)/(#REF!+#REF!)*#REF!*(#REF!+#REF!),0)</f>
        <v>#REF!</v>
      </c>
      <c r="AD26" s="258" t="e">
        <f>SUM(#REF!,#REF!)</f>
        <v>#REF!</v>
      </c>
      <c r="AE26" s="3"/>
      <c r="AF26" s="1"/>
    </row>
    <row r="27" spans="1:32" x14ac:dyDescent="0.25">
      <c r="A27" s="10" t="s">
        <v>323</v>
      </c>
      <c r="B27" s="218"/>
      <c r="C27" s="218"/>
      <c r="D27" s="275">
        <v>2</v>
      </c>
      <c r="E27" s="275">
        <v>6</v>
      </c>
      <c r="F27" s="275"/>
      <c r="G27" s="275">
        <v>35</v>
      </c>
      <c r="H27" s="288"/>
      <c r="I27" s="275">
        <v>6</v>
      </c>
      <c r="J27" s="275">
        <v>0</v>
      </c>
      <c r="K27" s="275">
        <v>6</v>
      </c>
      <c r="L27" s="275">
        <v>0</v>
      </c>
      <c r="M27" s="3">
        <f>D27+(E27*I27)</f>
        <v>38</v>
      </c>
      <c r="N27" s="3">
        <f>D27+(E27*K27)</f>
        <v>38</v>
      </c>
      <c r="O27" s="219">
        <f t="shared" si="12"/>
        <v>76</v>
      </c>
      <c r="P27" s="220">
        <f>O27*$I$1</f>
        <v>159600</v>
      </c>
      <c r="Q27" s="275"/>
      <c r="R27" s="275"/>
      <c r="S27" s="3">
        <f>(Q27+R27)*$I$2*$D$1*0.4</f>
        <v>0</v>
      </c>
      <c r="T27" s="275"/>
      <c r="U27" s="275"/>
      <c r="V27" s="3">
        <f>(T27+U27)*$I$2*$D$1*0.4</f>
        <v>0</v>
      </c>
      <c r="W27" s="219">
        <f>(S27+V27)/$I$1+O27</f>
        <v>76</v>
      </c>
      <c r="X27" s="219"/>
      <c r="Z27" s="289"/>
      <c r="AA27" s="58">
        <f t="shared" si="16"/>
        <v>0</v>
      </c>
      <c r="AB27" s="258">
        <f t="shared" si="17"/>
        <v>0</v>
      </c>
      <c r="AC27" s="58" t="e">
        <f>IF(AD27&gt;0,(#REF!+#REF!)/(#REF!+#REF!)*#REF!*(#REF!+#REF!),0)</f>
        <v>#REF!</v>
      </c>
      <c r="AD27" s="258" t="e">
        <f>SUM(#REF!,#REF!)</f>
        <v>#REF!</v>
      </c>
      <c r="AE27" s="219"/>
      <c r="AF27" s="222"/>
    </row>
    <row r="28" spans="1:32" s="221" customFormat="1" x14ac:dyDescent="0.25">
      <c r="A28" s="10"/>
      <c r="B28" s="17"/>
      <c r="C28" s="17"/>
      <c r="D28" s="8"/>
      <c r="E28" s="8"/>
      <c r="F28" s="8"/>
      <c r="G28" s="8"/>
      <c r="H28" s="3"/>
      <c r="I28" s="8"/>
      <c r="J28" s="8"/>
      <c r="K28" s="8"/>
      <c r="L28" s="8"/>
      <c r="M28" s="3">
        <f>D28+(E28*I28)</f>
        <v>0</v>
      </c>
      <c r="N28" s="3">
        <f>D28+(E28*K28)</f>
        <v>0</v>
      </c>
      <c r="O28" s="219">
        <f>M28+N28</f>
        <v>0</v>
      </c>
      <c r="P28" s="220">
        <f>O28*$I$1</f>
        <v>0</v>
      </c>
      <c r="Q28" s="8"/>
      <c r="R28" s="8"/>
      <c r="S28" s="3">
        <f>(Q28+R28)*$I$2*$D$1*0.4</f>
        <v>0</v>
      </c>
      <c r="T28" s="8"/>
      <c r="U28" s="8"/>
      <c r="V28" s="3">
        <f>(T28+U28)*$I$2*$D$1*0.4</f>
        <v>0</v>
      </c>
      <c r="W28" s="219">
        <f>(S28+V28)/$I$1+O28</f>
        <v>0</v>
      </c>
      <c r="X28" s="3"/>
      <c r="Z28" s="289"/>
      <c r="AA28" s="58">
        <f t="shared" si="16"/>
        <v>0</v>
      </c>
      <c r="AB28" s="258">
        <f t="shared" si="17"/>
        <v>0</v>
      </c>
      <c r="AC28" s="58" t="e">
        <f>IF(AD28&gt;0,(#REF!+#REF!)/(#REF!+#REF!)*#REF!*(#REF!+#REF!),0)</f>
        <v>#REF!</v>
      </c>
      <c r="AD28" s="258" t="e">
        <f>SUM(#REF!,#REF!)</f>
        <v>#REF!</v>
      </c>
      <c r="AE28" s="219"/>
      <c r="AF28" s="222"/>
    </row>
    <row r="29" spans="1:32" s="221" customFormat="1" x14ac:dyDescent="0.25">
      <c r="A29" s="217"/>
      <c r="B29" s="17"/>
      <c r="C29" s="17"/>
      <c r="D29" s="8"/>
      <c r="E29" s="8"/>
      <c r="F29" s="8"/>
      <c r="G29" s="8"/>
      <c r="H29" s="3"/>
      <c r="I29" s="8"/>
      <c r="J29" s="8"/>
      <c r="K29" s="8"/>
      <c r="L29" s="8"/>
      <c r="M29" s="3"/>
      <c r="N29" s="3"/>
      <c r="O29" s="3"/>
      <c r="P29" s="23"/>
      <c r="Q29" s="8"/>
      <c r="R29" s="8"/>
      <c r="S29" s="3"/>
      <c r="T29" s="8"/>
      <c r="U29" s="8"/>
      <c r="V29" s="3"/>
      <c r="W29" s="3"/>
      <c r="X29" s="3"/>
      <c r="Z29" s="289"/>
      <c r="AA29" s="58"/>
      <c r="AB29" s="258"/>
      <c r="AC29" s="222"/>
      <c r="AD29" s="303"/>
      <c r="AE29" s="219"/>
      <c r="AF29" s="222"/>
    </row>
    <row r="30" spans="1:32" ht="45" x14ac:dyDescent="0.25">
      <c r="A30" s="26" t="s">
        <v>8</v>
      </c>
      <c r="B30" s="59"/>
      <c r="C30" s="59">
        <f>SUM(C9,C18)</f>
        <v>2400</v>
      </c>
      <c r="D30" s="83">
        <f>SUM(D7:D23)</f>
        <v>135</v>
      </c>
      <c r="E30" s="9">
        <f>SUM(E7:E21)</f>
        <v>86.25</v>
      </c>
      <c r="F30" s="8">
        <f>SUM(F7:F21)</f>
        <v>0</v>
      </c>
      <c r="G30" s="8"/>
      <c r="H30" s="2"/>
      <c r="I30" s="123"/>
      <c r="J30" s="123"/>
      <c r="K30" s="123"/>
      <c r="L30" s="123"/>
      <c r="M30" s="4">
        <f>SUM(M7:M27)</f>
        <v>748.25</v>
      </c>
      <c r="N30" s="4">
        <f>SUM(N7:N27)</f>
        <v>748.25</v>
      </c>
      <c r="O30" s="4">
        <f>SUM(O7:O27)</f>
        <v>1496.5</v>
      </c>
      <c r="P30" s="114">
        <f>SUM(P7:P21)</f>
        <v>2714250</v>
      </c>
      <c r="Q30" s="125">
        <f t="shared" ref="Q30:W30" si="18">SUM(Q7:Q27)</f>
        <v>3</v>
      </c>
      <c r="R30" s="125">
        <f t="shared" si="18"/>
        <v>3</v>
      </c>
      <c r="S30" s="125">
        <f t="shared" si="18"/>
        <v>175440</v>
      </c>
      <c r="T30" s="125">
        <f t="shared" si="18"/>
        <v>3</v>
      </c>
      <c r="U30" s="125">
        <f t="shared" si="18"/>
        <v>3</v>
      </c>
      <c r="V30" s="125">
        <f t="shared" si="18"/>
        <v>175440</v>
      </c>
      <c r="W30" s="125">
        <f t="shared" si="18"/>
        <v>1663.5857142857144</v>
      </c>
      <c r="X30" s="4">
        <f>SUM(P30,V30,S30)</f>
        <v>3065130</v>
      </c>
      <c r="Y30" s="223" t="s">
        <v>319</v>
      </c>
      <c r="Z30" s="2">
        <f>SUM(Z6:Z26)</f>
        <v>12</v>
      </c>
      <c r="AA30" s="308">
        <f>SUM(AA6:AA26)</f>
        <v>419.5</v>
      </c>
      <c r="AB30" s="2"/>
      <c r="AC30" s="308" t="e">
        <f>SUM(AC6:AC26)</f>
        <v>#REF!</v>
      </c>
      <c r="AD30" s="308"/>
      <c r="AE30" s="308">
        <f>AE31/5</f>
        <v>206.4</v>
      </c>
      <c r="AF30" s="2"/>
    </row>
    <row r="31" spans="1:32" s="7" customFormat="1" ht="30" x14ac:dyDescent="0.25">
      <c r="A31" s="10"/>
      <c r="B31" s="17"/>
      <c r="C31" s="1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3"/>
      <c r="Q31" s="3"/>
      <c r="R31" s="3"/>
      <c r="S31" s="3"/>
      <c r="T31" s="3"/>
      <c r="U31" s="3"/>
      <c r="V31" s="3"/>
      <c r="W31" s="3"/>
      <c r="X31" s="3"/>
      <c r="Y31" s="223" t="s">
        <v>318</v>
      </c>
      <c r="Z31" s="2">
        <f>SUM(Z7:Z27)*5</f>
        <v>60</v>
      </c>
      <c r="AA31" s="308">
        <f>SUM(AA7:AA27)*5</f>
        <v>2097.5</v>
      </c>
      <c r="AB31" s="2"/>
      <c r="AC31" s="308" t="e">
        <f>SUM(AC7:AC27)*5</f>
        <v>#REF!</v>
      </c>
      <c r="AD31" s="308"/>
      <c r="AE31" s="308">
        <f>(S30+V30)/I2</f>
        <v>1032</v>
      </c>
      <c r="AF31" s="1"/>
    </row>
    <row r="32" spans="1:32" x14ac:dyDescent="0.25">
      <c r="Z32" s="1" t="s">
        <v>290</v>
      </c>
      <c r="AA32" s="1"/>
      <c r="AB32" s="1"/>
      <c r="AC32" s="1"/>
      <c r="AD32" s="1"/>
      <c r="AE32" s="1"/>
    </row>
    <row r="33" spans="1:30" x14ac:dyDescent="0.25">
      <c r="A33" t="s">
        <v>207</v>
      </c>
      <c r="N33" s="5"/>
      <c r="O33" s="5"/>
      <c r="V33"/>
      <c r="W33"/>
      <c r="X33"/>
    </row>
    <row r="34" spans="1:30" x14ac:dyDescent="0.25">
      <c r="A34" s="1" t="s">
        <v>205</v>
      </c>
      <c r="B34" s="153">
        <v>0</v>
      </c>
      <c r="C34" s="154">
        <f>B34*$B$5*2</f>
        <v>0</v>
      </c>
      <c r="D34" s="283">
        <v>0</v>
      </c>
      <c r="E34" s="283">
        <v>2</v>
      </c>
      <c r="F34" s="283"/>
      <c r="G34" s="283">
        <v>35</v>
      </c>
      <c r="H34" s="283"/>
      <c r="I34" s="284">
        <v>8</v>
      </c>
      <c r="J34" s="284"/>
      <c r="K34" s="283" t="e">
        <f>+IF(#REF!&gt;0,$D$3/#REF!,0)</f>
        <v>#REF!</v>
      </c>
      <c r="L34" s="283">
        <v>8</v>
      </c>
      <c r="M34" s="3" t="e">
        <f>#REF!+#REF!</f>
        <v>#REF!</v>
      </c>
      <c r="N34" s="23" t="e">
        <f>M34*$G$3</f>
        <v>#REF!</v>
      </c>
      <c r="O34" s="155"/>
      <c r="P34" s="155">
        <v>1</v>
      </c>
      <c r="Q34" s="3">
        <f>(O34+P34)*$G$4*$D$3*0.7</f>
        <v>0</v>
      </c>
      <c r="R34" s="155"/>
      <c r="S34" s="155">
        <v>2</v>
      </c>
      <c r="T34" s="3">
        <f>(R34+S34)*$G$4*$D$3*0.7</f>
        <v>0</v>
      </c>
      <c r="U34" s="3" t="e">
        <f>M34+(Q34+T34)/$G$3</f>
        <v>#REF!</v>
      </c>
      <c r="V34" s="1"/>
      <c r="W34"/>
      <c r="X34"/>
      <c r="AC34" s="1"/>
      <c r="AD34" s="1"/>
    </row>
    <row r="36" spans="1:30" ht="16.5" customHeight="1" x14ac:dyDescent="0.25"/>
  </sheetData>
  <sheetProtection algorithmName="SHA-512" hashValue="iMfMlqx8m3EC3fP33rr2bMUoxcxyyfvcdDBkYzn8zmK7WTyTEw4ewQb0FeM+j8e0DyDMzZB+NcwordyX3GUNxA==" saltValue="YHjL1XYw86z2BSPQfnmdBw==" spinCount="100000" sheet="1" objects="1" scenarios="1" selectLockedCells="1"/>
  <customSheetViews>
    <customSheetView guid="{54055508-3439-4A0A-A803-01A23ABF8DBD}" fitToPage="1" hiddenColumns="1">
      <pane xSplit="1" topLeftCell="D1" activePane="topRight" state="frozen"/>
      <selection pane="topRight" activeCell="I25" sqref="I25"/>
      <pageMargins left="7.874015748031496E-2" right="7.874015748031496E-2" top="0.78740157480314965" bottom="0.78740157480314965" header="0.31496062992125984" footer="0.31496062992125984"/>
      <pageSetup paperSize="9" scale="85" orientation="landscape" r:id="rId1"/>
      <headerFooter>
        <oddHeader>&amp;C&amp;"-,Fet"&amp;14 2. studieår</oddHeader>
      </headerFooter>
    </customSheetView>
    <customSheetView guid="{7084DC93-B2BE-4098-87E1-DAC5FBCE0E0A}" fitToPage="1" hiddenColumns="1" topLeftCell="A7">
      <pane xSplit="1" topLeftCell="D1" activePane="topRight" state="frozen"/>
      <selection pane="topRight" activeCell="Q9" sqref="Q9"/>
      <pageMargins left="7.874015748031496E-2" right="7.874015748031496E-2" top="0.78740157480314965" bottom="0.78740157480314965" header="0.31496062992125984" footer="0.31496062992125984"/>
      <pageSetup paperSize="9" scale="85" orientation="landscape" r:id="rId2"/>
      <headerFooter>
        <oddHeader>&amp;C&amp;"-,Fet"&amp;14 2. studieår</oddHeader>
      </headerFooter>
    </customSheetView>
    <customSheetView guid="{37BC2192-ABF8-4439-93C4-8E65E7EF90F5}" fitToPage="1" hiddenColumns="1" topLeftCell="A7">
      <pane xSplit="1" topLeftCell="D1" activePane="topRight" state="frozen"/>
      <selection pane="topRight" activeCell="Q9" sqref="Q9"/>
      <pageMargins left="7.874015748031496E-2" right="7.874015748031496E-2" top="0.78740157480314965" bottom="0.78740157480314965" header="0.31496062992125984" footer="0.31496062992125984"/>
      <pageSetup paperSize="9" scale="85" orientation="landscape" r:id="rId3"/>
      <headerFooter>
        <oddHeader>&amp;C&amp;"-,Fet"&amp;14 2. studieår</oddHeader>
      </headerFooter>
    </customSheetView>
    <customSheetView guid="{1283C6B5-B05C-447B-8854-CDB081C03FD4}" scale="80" fitToPage="1" hiddenColumns="1" topLeftCell="A7">
      <pane xSplit="1" topLeftCell="D1" activePane="topRight" state="frozen"/>
      <selection pane="topRight" activeCell="Q9" sqref="Q9"/>
      <pageMargins left="7.874015748031496E-2" right="7.874015748031496E-2" top="0.78740157480314965" bottom="0.78740157480314965" header="0.31496062992125984" footer="0.31496062992125984"/>
      <pageSetup paperSize="9" scale="85" orientation="landscape" r:id="rId4"/>
      <headerFooter>
        <oddHeader>&amp;C&amp;"-,Fet"&amp;14 2. studieår</oddHeader>
      </headerFooter>
    </customSheetView>
    <customSheetView guid="{F170D8DF-3539-4353-BD8B-1F5EB452DAE5}" scale="110" fitToPage="1" hiddenColumns="1" topLeftCell="A7">
      <pane xSplit="1" topLeftCell="V1" activePane="topRight" state="frozen"/>
      <selection pane="topRight" activeCell="E19" sqref="E19"/>
      <pageMargins left="7.874015748031496E-2" right="7.874015748031496E-2" top="0.78740157480314965" bottom="0.78740157480314965" header="0.31496062992125984" footer="0.31496062992125984"/>
      <pageSetup paperSize="9" scale="85" orientation="landscape" r:id="rId5"/>
      <headerFooter>
        <oddHeader>&amp;C&amp;"-,Fet"&amp;14 2. studieår</oddHeader>
      </headerFooter>
    </customSheetView>
    <customSheetView guid="{F727610F-D041-4412-A81F-AFD013C44971}" scale="110" fitToPage="1" hiddenColumns="1">
      <pane xSplit="1" topLeftCell="B1" activePane="topRight" state="frozen"/>
      <selection pane="topRight" activeCell="E19" sqref="E19"/>
      <pageMargins left="7.874015748031496E-2" right="7.874015748031496E-2" top="0.78740157480314965" bottom="0.78740157480314965" header="0.31496062992125984" footer="0.31496062992125984"/>
      <pageSetup paperSize="9" scale="85" orientation="landscape" r:id="rId6"/>
      <headerFooter>
        <oddHeader>&amp;C&amp;"-,Fet"&amp;14 2. studieår</oddHeader>
      </headerFooter>
    </customSheetView>
    <customSheetView guid="{46AB9545-8BEE-4A2F-B820-9F80AC24A11B}" fitToPage="1" hiddenColumns="1" topLeftCell="A7">
      <pane xSplit="1" topLeftCell="I1" activePane="topRight" state="frozen"/>
      <selection pane="topRight" activeCell="Q16" sqref="Q16"/>
      <pageMargins left="7.874015748031496E-2" right="7.874015748031496E-2" top="0.78740157480314965" bottom="0.78740157480314965" header="0.31496062992125984" footer="0.31496062992125984"/>
      <pageSetup paperSize="9" scale="85" orientation="landscape" r:id="rId7"/>
      <headerFooter>
        <oddHeader>&amp;C&amp;"-,Fet"&amp;14 2. studieår</oddHeader>
      </headerFooter>
    </customSheetView>
    <customSheetView guid="{E5349645-7714-4437-B9BC-26ED822E5BC5}" fitToPage="1" hiddenColumns="1" topLeftCell="A13">
      <pane xSplit="1" topLeftCell="B1" activePane="topRight" state="frozen"/>
      <selection pane="topRight" activeCell="E26" sqref="E26"/>
      <pageMargins left="7.874015748031496E-2" right="7.874015748031496E-2" top="0.78740157480314965" bottom="0.78740157480314965" header="0.31496062992125984" footer="0.31496062992125984"/>
      <pageSetup paperSize="9" scale="85" orientation="landscape" r:id="rId8"/>
      <headerFooter>
        <oddHeader>&amp;C&amp;"-,Fet"&amp;14 2. studieår</oddHeader>
      </headerFooter>
    </customSheetView>
    <customSheetView guid="{43EFFC0A-CCC0-43DD-A273-4AF58757EC00}" fitToPage="1" hiddenColumns="1" topLeftCell="A8">
      <selection activeCell="AI20" sqref="AI20"/>
      <pageMargins left="7.874015748031496E-2" right="7.874015748031496E-2" top="0.78740157480314965" bottom="0.78740157480314965" header="0.31496062992125984" footer="0.31496062992125984"/>
      <pageSetup paperSize="9" scale="85" orientation="landscape" r:id="rId9"/>
      <headerFooter>
        <oddHeader>&amp;C&amp;"-,Fet"&amp;14 2. studieår</oddHeader>
      </headerFooter>
    </customSheetView>
    <customSheetView guid="{7AE955BB-7BF8-4CA4-ABF1-6A0BB53A48AD}" fitToPage="1" hiddenRows="1" hiddenColumns="1" topLeftCell="H1">
      <selection activeCell="AI12" sqref="AI12"/>
      <pageMargins left="7.874015748031496E-2" right="7.874015748031496E-2" top="0.78740157480314965" bottom="0.78740157480314965" header="0.31496062992125984" footer="0.31496062992125984"/>
      <pageSetup paperSize="9" scale="85" orientation="landscape" r:id="rId10"/>
      <headerFooter>
        <oddHeader>&amp;C&amp;"-,Fet"&amp;14 2. studieår</oddHeader>
      </headerFooter>
    </customSheetView>
    <customSheetView guid="{BB9ED292-532F-438C-A4A6-F8D66D70E0E7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1"/>
      <headerFooter>
        <oddHeader>&amp;C&amp;"-,Fet"&amp;14 2. studieår</oddHeader>
      </headerFooter>
    </customSheetView>
    <customSheetView guid="{726FF687-50E0-4F8A-BCCB-6DA9E6D367D4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2"/>
      <headerFooter>
        <oddHeader>&amp;C&amp;"-,Fet"&amp;14 2. studieår</oddHeader>
      </headerFooter>
    </customSheetView>
    <customSheetView guid="{B76C0EA9-E79B-4DA2-9ADE-66DB47109F8F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3"/>
      <headerFooter>
        <oddHeader>&amp;C&amp;"-,Fet"&amp;14 2. studieår</oddHeader>
      </headerFooter>
    </customSheetView>
    <customSheetView guid="{91227156-ECBD-48FD-8964-78F3608400FC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4"/>
      <headerFooter>
        <oddHeader>&amp;C&amp;"-,Fet"&amp;14 2. studieår</oddHeader>
      </headerFooter>
    </customSheetView>
    <customSheetView guid="{1241DC17-BD41-46C5-9DB1-684763A09F24}" fitToPage="1" hiddenColumns="1">
      <pane xSplit="1" topLeftCell="B1" activePane="topRight" state="frozen"/>
      <selection pane="topRight" activeCell="I7" sqref="I7"/>
      <pageMargins left="7.874015748031496E-2" right="7.874015748031496E-2" top="0.78740157480314965" bottom="0.78740157480314965" header="0.31496062992125984" footer="0.31496062992125984"/>
      <pageSetup paperSize="9" scale="44" orientation="landscape" r:id="rId15"/>
      <headerFooter>
        <oddHeader>&amp;C&amp;"-,Fet"&amp;14 2. studieår</oddHeader>
      </headerFooter>
    </customSheetView>
    <customSheetView guid="{C1FECEF4-D739-4F39-9B89-CF4C04A77A9B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6"/>
      <headerFooter>
        <oddHeader>&amp;C&amp;"-,Fet"&amp;14 2. studieår</oddHeader>
      </headerFooter>
    </customSheetView>
    <customSheetView guid="{83C69039-3E29-46E1-85FB-B9165E0BFA91}" fitToPage="1" hiddenColumns="1">
      <pane xSplit="1" topLeftCell="S1" activePane="topRight" state="frozen"/>
      <selection pane="topRight" activeCell="A11" sqref="A11:XFD11"/>
      <pageMargins left="7.874015748031496E-2" right="7.874015748031496E-2" top="0.78740157480314965" bottom="0.78740157480314965" header="0.31496062992125984" footer="0.31496062992125984"/>
      <pageSetup paperSize="9" scale="44" orientation="landscape" r:id="rId17"/>
      <headerFooter>
        <oddHeader>&amp;C&amp;"-,Fet"&amp;14 2. studieår</oddHeader>
      </headerFooter>
    </customSheetView>
    <customSheetView guid="{F38A39FA-EF57-4062-A2AD-F3BEB88C5762}" fitToPage="1" hiddenColumns="1" topLeftCell="A8">
      <selection activeCell="AE22" sqref="AE22"/>
      <pageMargins left="7.874015748031496E-2" right="7.874015748031496E-2" top="0.78740157480314965" bottom="0.78740157480314965" header="0.31496062992125984" footer="0.31496062992125984"/>
      <pageSetup paperSize="9" scale="85" orientation="landscape" r:id="rId18"/>
      <headerFooter>
        <oddHeader>&amp;C&amp;"-,Fet"&amp;14 2. studieår</oddHeader>
      </headerFooter>
    </customSheetView>
    <customSheetView guid="{749D43A3-052D-442F-AE88-F6CCB83A1282}" fitToPage="1" hiddenColumns="1" topLeftCell="A4">
      <pane xSplit="1" topLeftCell="X1" activePane="topRight" state="frozen"/>
      <selection pane="topRight" activeCell="Q12" sqref="Q12"/>
      <pageMargins left="7.874015748031496E-2" right="7.874015748031496E-2" top="0.78740157480314965" bottom="0.78740157480314965" header="0.31496062992125984" footer="0.31496062992125984"/>
      <pageSetup paperSize="9" scale="85" orientation="landscape" r:id="rId19"/>
      <headerFooter>
        <oddHeader>&amp;C&amp;"-,Fet"&amp;14 2. studieår</oddHeader>
      </headerFooter>
    </customSheetView>
    <customSheetView guid="{AC2983A2-F978-40B7-A196-35F34E705157}" scale="70" fitToPage="1" hiddenColumns="1" topLeftCell="A4">
      <pane xSplit="1" topLeftCell="B1" activePane="topRight" state="frozen"/>
      <selection pane="topRight" activeCell="S11" sqref="S11"/>
      <pageMargins left="7.874015748031496E-2" right="7.874015748031496E-2" top="0.78740157480314965" bottom="0.78740157480314965" header="0.31496062992125984" footer="0.31496062992125984"/>
      <pageSetup paperSize="9" scale="85" orientation="landscape" r:id="rId20"/>
      <headerFooter>
        <oddHeader>&amp;C&amp;"-,Fet"&amp;14 2. studieår</oddHeader>
      </headerFooter>
    </customSheetView>
    <customSheetView guid="{2A2C752C-8C42-4F9A-A40C-FE7F7014F210}" fitToPage="1" hiddenColumns="1">
      <pane xSplit="1" topLeftCell="D1" activePane="topRight" state="frozen"/>
      <selection pane="topRight" activeCell="I25" sqref="I25"/>
      <pageMargins left="7.874015748031496E-2" right="7.874015748031496E-2" top="0.78740157480314965" bottom="0.78740157480314965" header="0.31496062992125984" footer="0.31496062992125984"/>
      <pageSetup paperSize="9" scale="85" orientation="landscape" r:id="rId21"/>
      <headerFooter>
        <oddHeader>&amp;C&amp;"-,Fet"&amp;14 2. studieår</oddHeader>
      </headerFooter>
    </customSheetView>
    <customSheetView guid="{0E885D9C-CD7C-4655-8709-41793617E0A7}" fitToPage="1" hiddenColumns="1">
      <pane xSplit="1" topLeftCell="D1" activePane="topRight" state="frozen"/>
      <selection pane="topRight" activeCell="I25" sqref="I25"/>
      <pageMargins left="7.874015748031496E-2" right="7.874015748031496E-2" top="0.78740157480314965" bottom="0.78740157480314965" header="0.31496062992125984" footer="0.31496062992125984"/>
      <pageSetup paperSize="9" scale="85" orientation="landscape" r:id="rId22"/>
      <headerFooter>
        <oddHeader>&amp;C&amp;"-,Fet"&amp;14 2. studieår</oddHeader>
      </headerFooter>
    </customSheetView>
    <customSheetView guid="{CB7E9FB3-C7A3-44DE-98E4-19C23B487785}" fitToPage="1" hiddenColumns="1">
      <pane xSplit="1" topLeftCell="D1" activePane="topRight" state="frozen"/>
      <selection pane="topRight" activeCell="I25" sqref="I25"/>
      <pageMargins left="7.874015748031496E-2" right="7.874015748031496E-2" top="0.78740157480314965" bottom="0.78740157480314965" header="0.31496062992125984" footer="0.31496062992125984"/>
      <pageSetup paperSize="9" scale="85" orientation="landscape" r:id="rId23"/>
      <headerFooter>
        <oddHeader>&amp;C&amp;"-,Fet"&amp;14 2. studieår</oddHeader>
      </headerFooter>
    </customSheetView>
  </customSheetViews>
  <mergeCells count="5">
    <mergeCell ref="Z1:AF1"/>
    <mergeCell ref="Z4:AF4"/>
    <mergeCell ref="D4:X5"/>
    <mergeCell ref="AA5:AB5"/>
    <mergeCell ref="AC5:AD5"/>
  </mergeCells>
  <pageMargins left="7.874015748031496E-2" right="7.874015748031496E-2" top="0.78740157480314965" bottom="0.78740157480314965" header="0.31496062992125984" footer="0.31496062992125984"/>
  <pageSetup paperSize="9" scale="85" orientation="landscape" r:id="rId24"/>
  <headerFooter>
    <oddHeader>&amp;C&amp;"-,Fet"&amp;14 2. studieår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S33"/>
  <sheetViews>
    <sheetView zoomScale="84" zoomScaleNormal="84" workbookViewId="0">
      <pane xSplit="1" topLeftCell="B1" activePane="topRight" state="frozen"/>
      <selection activeCell="AE19" sqref="AE19"/>
      <selection pane="topRight" activeCell="D1" sqref="D1"/>
    </sheetView>
  </sheetViews>
  <sheetFormatPr defaultColWidth="11.42578125" defaultRowHeight="15" x14ac:dyDescent="0.25"/>
  <cols>
    <col min="1" max="1" width="42.42578125" bestFit="1" customWidth="1"/>
    <col min="2" max="2" width="12.42578125" customWidth="1"/>
    <col min="3" max="3" width="19.140625" bestFit="1" customWidth="1"/>
    <col min="4" max="4" width="14.42578125" customWidth="1"/>
    <col min="5" max="5" width="10.85546875" customWidth="1"/>
    <col min="6" max="6" width="9.140625" hidden="1" customWidth="1"/>
    <col min="7" max="7" width="13.42578125" hidden="1" customWidth="1"/>
    <col min="8" max="8" width="13.140625" customWidth="1"/>
    <col min="9" max="13" width="9.140625" customWidth="1"/>
    <col min="14" max="15" width="11" customWidth="1"/>
    <col min="16" max="16" width="9.140625" customWidth="1"/>
    <col min="17" max="17" width="9.85546875" style="5" bestFit="1" customWidth="1"/>
    <col min="18" max="18" width="14.140625" style="5" customWidth="1"/>
    <col min="19" max="19" width="13.7109375" style="5" customWidth="1"/>
    <col min="20" max="20" width="14.42578125" style="5" customWidth="1"/>
    <col min="21" max="21" width="10.42578125" style="5" customWidth="1"/>
    <col min="22" max="22" width="10.7109375" style="5" customWidth="1"/>
    <col min="23" max="26" width="9.140625" style="5" customWidth="1"/>
    <col min="27" max="27" width="11.85546875" style="5" customWidth="1"/>
    <col min="28" max="28" width="12.42578125" style="5" customWidth="1"/>
    <col min="29" max="29" width="17.140625" customWidth="1"/>
    <col min="30" max="30" width="12.85546875" customWidth="1"/>
    <col min="31" max="31" width="14.5703125" customWidth="1"/>
    <col min="32" max="37" width="9.140625" customWidth="1"/>
    <col min="38" max="38" width="11.5703125" customWidth="1"/>
    <col min="39" max="39" width="13.42578125" customWidth="1"/>
    <col min="40" max="40" width="10.5703125" customWidth="1"/>
    <col min="41" max="41" width="13" customWidth="1"/>
    <col min="42" max="42" width="11.140625" customWidth="1"/>
    <col min="43" max="43" width="14" customWidth="1"/>
    <col min="44" max="44" width="11.5703125" customWidth="1"/>
    <col min="45" max="45" width="13.5703125" customWidth="1"/>
    <col min="46" max="259" width="9.140625" customWidth="1"/>
  </cols>
  <sheetData>
    <row r="1" spans="1:45" ht="30" x14ac:dyDescent="0.25">
      <c r="A1" s="199" t="s">
        <v>5</v>
      </c>
      <c r="B1" s="200"/>
      <c r="C1" s="200"/>
      <c r="D1" s="323">
        <v>215</v>
      </c>
      <c r="E1" s="204"/>
      <c r="F1" s="7"/>
      <c r="G1" s="7"/>
      <c r="H1" s="203" t="s">
        <v>9</v>
      </c>
      <c r="I1" s="291">
        <v>2100</v>
      </c>
      <c r="Q1"/>
      <c r="R1"/>
      <c r="S1"/>
      <c r="T1"/>
      <c r="AC1" s="5"/>
      <c r="AE1" s="224" t="s">
        <v>127</v>
      </c>
      <c r="AF1" s="224"/>
      <c r="AG1" s="224"/>
      <c r="AH1" s="224"/>
      <c r="AI1" s="224"/>
      <c r="AJ1" s="224"/>
      <c r="AK1" s="224"/>
    </row>
    <row r="2" spans="1:45" ht="30" x14ac:dyDescent="0.25">
      <c r="A2" s="201" t="s">
        <v>6</v>
      </c>
      <c r="B2" s="202"/>
      <c r="C2" s="161"/>
      <c r="D2" s="322">
        <v>2400</v>
      </c>
      <c r="E2" s="204"/>
      <c r="F2" s="7"/>
      <c r="G2" s="7"/>
      <c r="H2" s="203" t="s">
        <v>10</v>
      </c>
      <c r="I2" s="292">
        <v>340</v>
      </c>
      <c r="Q2"/>
      <c r="R2"/>
      <c r="S2"/>
      <c r="T2"/>
      <c r="AC2" s="5"/>
      <c r="AE2" s="225"/>
      <c r="AF2" s="225"/>
      <c r="AG2" s="225"/>
      <c r="AH2" s="225"/>
      <c r="AI2" s="225"/>
      <c r="AJ2" s="225"/>
      <c r="AK2" s="225"/>
    </row>
    <row r="3" spans="1:45" x14ac:dyDescent="0.25">
      <c r="A3" s="199" t="s">
        <v>101</v>
      </c>
      <c r="B3" s="59">
        <v>24</v>
      </c>
      <c r="C3" s="61"/>
      <c r="D3" s="62"/>
      <c r="E3" s="57"/>
      <c r="F3" s="57"/>
      <c r="G3" s="14"/>
      <c r="H3" s="14"/>
      <c r="AC3" s="97"/>
      <c r="AD3" s="129" t="s">
        <v>116</v>
      </c>
      <c r="AE3" s="129" t="s">
        <v>110</v>
      </c>
      <c r="AF3" s="129"/>
      <c r="AG3" s="129" t="s">
        <v>111</v>
      </c>
      <c r="AH3" s="129" t="s">
        <v>113</v>
      </c>
      <c r="AI3" s="129" t="s">
        <v>112</v>
      </c>
      <c r="AJ3" s="1"/>
    </row>
    <row r="4" spans="1:45" x14ac:dyDescent="0.25">
      <c r="D4" s="314" t="s">
        <v>103</v>
      </c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6"/>
      <c r="AC4" s="97"/>
      <c r="AD4" s="130"/>
      <c r="AE4" s="130"/>
      <c r="AF4" s="130"/>
      <c r="AG4" s="130"/>
      <c r="AH4" s="130">
        <v>1</v>
      </c>
      <c r="AI4" s="130"/>
      <c r="AJ4" s="1"/>
    </row>
    <row r="5" spans="1:45" x14ac:dyDescent="0.25">
      <c r="D5" s="314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6"/>
      <c r="AD5" s="311" t="s">
        <v>114</v>
      </c>
      <c r="AE5" s="311"/>
      <c r="AF5" s="311"/>
      <c r="AG5" s="311"/>
      <c r="AH5" s="311"/>
      <c r="AI5" s="311"/>
      <c r="AJ5" s="1"/>
    </row>
    <row r="6" spans="1:45" s="30" customFormat="1" ht="86.25" x14ac:dyDescent="0.25">
      <c r="A6" s="75" t="s">
        <v>1</v>
      </c>
      <c r="B6" s="82" t="s">
        <v>217</v>
      </c>
      <c r="C6" s="82" t="s">
        <v>102</v>
      </c>
      <c r="D6" s="77" t="s">
        <v>236</v>
      </c>
      <c r="E6" s="77" t="s">
        <v>218</v>
      </c>
      <c r="F6" s="77" t="s">
        <v>223</v>
      </c>
      <c r="G6" s="77" t="s">
        <v>11</v>
      </c>
      <c r="H6" s="77" t="s">
        <v>3</v>
      </c>
      <c r="I6" s="73" t="s">
        <v>294</v>
      </c>
      <c r="J6" s="73" t="s">
        <v>295</v>
      </c>
      <c r="K6" s="73" t="s">
        <v>296</v>
      </c>
      <c r="L6" s="73" t="s">
        <v>298</v>
      </c>
      <c r="M6" s="77" t="s">
        <v>297</v>
      </c>
      <c r="N6" s="78" t="s">
        <v>120</v>
      </c>
      <c r="O6" s="78" t="s">
        <v>121</v>
      </c>
      <c r="P6" s="78" t="s">
        <v>108</v>
      </c>
      <c r="Q6" s="79" t="s">
        <v>124</v>
      </c>
      <c r="R6" s="73" t="s">
        <v>370</v>
      </c>
      <c r="S6" s="73" t="s">
        <v>371</v>
      </c>
      <c r="T6" s="73" t="s">
        <v>364</v>
      </c>
      <c r="U6" s="128" t="s">
        <v>193</v>
      </c>
      <c r="V6" s="128" t="s">
        <v>192</v>
      </c>
      <c r="W6" s="127" t="s">
        <v>122</v>
      </c>
      <c r="X6" s="117" t="s">
        <v>194</v>
      </c>
      <c r="Y6" s="117" t="s">
        <v>195</v>
      </c>
      <c r="Z6" s="79" t="s">
        <v>123</v>
      </c>
      <c r="AA6" s="79" t="s">
        <v>225</v>
      </c>
      <c r="AB6" s="79" t="s">
        <v>224</v>
      </c>
      <c r="AD6" s="109">
        <v>620231</v>
      </c>
      <c r="AE6" s="317">
        <v>620232</v>
      </c>
      <c r="AF6" s="318"/>
      <c r="AG6" s="109">
        <v>620233</v>
      </c>
      <c r="AH6" s="109">
        <v>620234</v>
      </c>
      <c r="AI6" s="317">
        <v>620235</v>
      </c>
      <c r="AJ6" s="318"/>
    </row>
    <row r="7" spans="1:45" s="30" customFormat="1" ht="60" x14ac:dyDescent="0.25">
      <c r="A7" s="2" t="s">
        <v>42</v>
      </c>
      <c r="B7" s="63"/>
      <c r="C7" s="63"/>
      <c r="D7" s="8"/>
      <c r="E7" s="8"/>
      <c r="F7" s="8"/>
      <c r="G7" s="8"/>
      <c r="H7" s="8"/>
      <c r="I7" s="8"/>
      <c r="J7" s="8"/>
      <c r="K7" s="8"/>
      <c r="L7" s="8"/>
      <c r="M7" s="8"/>
      <c r="N7" s="3"/>
      <c r="O7" s="3"/>
      <c r="P7" s="3"/>
      <c r="Q7" s="3"/>
      <c r="R7" s="3"/>
      <c r="S7" s="3"/>
      <c r="T7" s="3"/>
      <c r="U7" s="8"/>
      <c r="V7" s="8"/>
      <c r="W7" s="3"/>
      <c r="X7" s="8"/>
      <c r="Y7" s="8"/>
      <c r="Z7" s="3"/>
      <c r="AA7" s="3"/>
      <c r="AB7" s="3"/>
      <c r="AD7" s="302" t="s">
        <v>305</v>
      </c>
      <c r="AE7" s="122" t="s">
        <v>133</v>
      </c>
      <c r="AF7" s="131" t="s">
        <v>125</v>
      </c>
      <c r="AG7" s="122" t="s">
        <v>133</v>
      </c>
      <c r="AH7" s="122" t="s">
        <v>133</v>
      </c>
      <c r="AI7" s="122" t="s">
        <v>133</v>
      </c>
      <c r="AJ7" s="131" t="s">
        <v>126</v>
      </c>
      <c r="AL7" s="255" t="s">
        <v>279</v>
      </c>
      <c r="AM7" s="255" t="s">
        <v>280</v>
      </c>
      <c r="AN7" s="255" t="s">
        <v>276</v>
      </c>
      <c r="AO7" s="255" t="s">
        <v>277</v>
      </c>
      <c r="AP7" s="255" t="s">
        <v>281</v>
      </c>
      <c r="AQ7" s="255" t="s">
        <v>280</v>
      </c>
      <c r="AR7" s="255" t="s">
        <v>282</v>
      </c>
      <c r="AS7" s="255" t="s">
        <v>277</v>
      </c>
    </row>
    <row r="8" spans="1:45" s="30" customFormat="1" x14ac:dyDescent="0.25">
      <c r="A8" s="2" t="s">
        <v>104</v>
      </c>
      <c r="B8" s="63">
        <v>22</v>
      </c>
      <c r="C8" s="63">
        <f>$B$3*B8*2</f>
        <v>1056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3"/>
      <c r="O8" s="3"/>
      <c r="P8" s="3"/>
      <c r="Q8" s="3"/>
      <c r="R8" s="276"/>
      <c r="S8" s="276"/>
      <c r="T8" s="3"/>
      <c r="U8" s="276"/>
      <c r="V8" s="276"/>
      <c r="W8" s="3"/>
      <c r="X8" s="276"/>
      <c r="Y8" s="276"/>
      <c r="Z8" s="3"/>
      <c r="AA8" s="3"/>
      <c r="AB8" s="3"/>
      <c r="AD8" s="311"/>
      <c r="AE8" s="58"/>
      <c r="AF8" s="258"/>
      <c r="AG8" s="311"/>
      <c r="AH8" s="311"/>
      <c r="AI8" s="311"/>
      <c r="AJ8" s="134"/>
      <c r="AL8" s="109"/>
      <c r="AM8" s="109"/>
      <c r="AN8" s="109"/>
      <c r="AO8" s="109"/>
      <c r="AP8" s="109"/>
      <c r="AQ8" s="109"/>
      <c r="AR8" s="109"/>
      <c r="AS8" s="109"/>
    </row>
    <row r="9" spans="1:45" x14ac:dyDescent="0.25">
      <c r="A9" s="1" t="s">
        <v>16</v>
      </c>
      <c r="B9" s="64">
        <v>1</v>
      </c>
      <c r="C9" s="63">
        <f>$B$3*B9*2</f>
        <v>48</v>
      </c>
      <c r="D9" s="276">
        <v>6</v>
      </c>
      <c r="E9" s="276"/>
      <c r="F9" s="276"/>
      <c r="G9" s="276"/>
      <c r="H9" s="276"/>
      <c r="I9" s="276"/>
      <c r="J9" s="276"/>
      <c r="K9" s="276"/>
      <c r="L9" s="276"/>
      <c r="M9" s="276"/>
      <c r="N9" s="3">
        <f t="shared" ref="N9:N17" si="0">D9+(E9*I9)</f>
        <v>6</v>
      </c>
      <c r="O9" s="3">
        <f t="shared" ref="O9:O17" si="1">D9+(E9*L9)</f>
        <v>6</v>
      </c>
      <c r="P9" s="3">
        <f t="shared" ref="P9:P12" si="2">N9+O9</f>
        <v>12</v>
      </c>
      <c r="Q9" s="3">
        <f t="shared" ref="Q9:Q12" si="3">P9*$I$1</f>
        <v>25200</v>
      </c>
      <c r="R9" s="276"/>
      <c r="S9" s="276"/>
      <c r="T9" s="3"/>
      <c r="U9" s="276"/>
      <c r="V9" s="276"/>
      <c r="W9" s="3">
        <f>(U8+V8)*$I$2*$D$1*0.5</f>
        <v>0</v>
      </c>
      <c r="X9" s="276"/>
      <c r="Y9" s="276"/>
      <c r="Z9" s="3">
        <f t="shared" ref="Z9:Z12" si="4">(X9+Y9)*$I$2*$D$1*0.5</f>
        <v>0</v>
      </c>
      <c r="AA9" s="3">
        <f>(W9+Z9)/$I$1+P9</f>
        <v>12</v>
      </c>
      <c r="AB9" s="3"/>
      <c r="AD9" s="120"/>
      <c r="AE9" s="1"/>
      <c r="AF9" s="258">
        <f>SUM(M9,J9)</f>
        <v>0</v>
      </c>
      <c r="AG9" s="1"/>
      <c r="AH9" s="1"/>
      <c r="AI9" s="1"/>
      <c r="AJ9" s="87"/>
      <c r="AL9" s="1"/>
      <c r="AM9" s="1"/>
      <c r="AN9" s="1"/>
      <c r="AO9" s="1"/>
      <c r="AP9" s="1"/>
      <c r="AQ9" s="1"/>
      <c r="AR9" s="1"/>
      <c r="AS9" s="1"/>
    </row>
    <row r="10" spans="1:45" x14ac:dyDescent="0.25">
      <c r="A10" s="1" t="s">
        <v>104</v>
      </c>
      <c r="B10" s="64">
        <v>22</v>
      </c>
      <c r="C10" s="63">
        <f>$B$3*B10*2</f>
        <v>1056</v>
      </c>
      <c r="D10" s="276">
        <v>30</v>
      </c>
      <c r="E10" s="276">
        <v>26</v>
      </c>
      <c r="F10" s="276"/>
      <c r="G10" s="276"/>
      <c r="H10" s="276">
        <v>24</v>
      </c>
      <c r="I10" s="276">
        <v>9</v>
      </c>
      <c r="J10" s="276">
        <v>2</v>
      </c>
      <c r="K10" s="276">
        <v>0</v>
      </c>
      <c r="L10" s="276">
        <v>8</v>
      </c>
      <c r="M10" s="276">
        <v>2</v>
      </c>
      <c r="N10" s="3">
        <f t="shared" si="0"/>
        <v>264</v>
      </c>
      <c r="O10" s="3">
        <f t="shared" si="1"/>
        <v>238</v>
      </c>
      <c r="P10" s="3">
        <f t="shared" si="2"/>
        <v>502</v>
      </c>
      <c r="Q10" s="3">
        <f t="shared" si="3"/>
        <v>1054200</v>
      </c>
      <c r="R10" s="276"/>
      <c r="S10" s="276"/>
      <c r="T10" s="3"/>
      <c r="U10" s="276">
        <v>3</v>
      </c>
      <c r="V10" s="276">
        <v>3</v>
      </c>
      <c r="W10" s="3">
        <f>(U9+V9)*$I$2*$D$1*0.5</f>
        <v>0</v>
      </c>
      <c r="X10" s="276"/>
      <c r="Y10" s="276"/>
      <c r="Z10" s="3">
        <f t="shared" si="4"/>
        <v>0</v>
      </c>
      <c r="AA10" s="3">
        <f>(W10+Z10)/$I$1+P10</f>
        <v>502</v>
      </c>
      <c r="AB10" s="3"/>
      <c r="AD10" s="120"/>
      <c r="AE10" s="1"/>
      <c r="AF10" s="258">
        <f>SUM(M10,J10)</f>
        <v>4</v>
      </c>
      <c r="AG10" s="1"/>
      <c r="AH10" s="1"/>
      <c r="AI10" s="1"/>
      <c r="AJ10" s="87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" t="s">
        <v>368</v>
      </c>
      <c r="B11" s="64"/>
      <c r="C11" s="63"/>
      <c r="D11" s="276"/>
      <c r="E11" s="276">
        <v>11</v>
      </c>
      <c r="F11" s="276"/>
      <c r="G11" s="276"/>
      <c r="H11" s="276">
        <v>24</v>
      </c>
      <c r="I11" s="276">
        <v>9</v>
      </c>
      <c r="J11" s="276">
        <v>1</v>
      </c>
      <c r="K11" s="276">
        <v>0</v>
      </c>
      <c r="L11" s="276">
        <v>8</v>
      </c>
      <c r="M11" s="276">
        <v>1</v>
      </c>
      <c r="N11" s="3">
        <f t="shared" ref="N11" si="5">D11+(E11*I11)</f>
        <v>99</v>
      </c>
      <c r="O11" s="3">
        <f t="shared" ref="O11" si="6">D11+(E11*L11)</f>
        <v>88</v>
      </c>
      <c r="P11" s="3">
        <f t="shared" ref="P11" si="7">N11+O11</f>
        <v>187</v>
      </c>
      <c r="Q11" s="3">
        <f t="shared" ref="Q11" si="8">P11*$I$1</f>
        <v>392700</v>
      </c>
      <c r="R11" s="276"/>
      <c r="S11" s="276"/>
      <c r="T11" s="3"/>
      <c r="U11" s="276"/>
      <c r="V11" s="276"/>
      <c r="W11" s="3">
        <f>(U10+V10)*$I$2*$D$1*0.5</f>
        <v>219300</v>
      </c>
      <c r="X11" s="276"/>
      <c r="Y11" s="276"/>
      <c r="Z11" s="3">
        <f t="shared" si="4"/>
        <v>0</v>
      </c>
      <c r="AA11" s="3">
        <f>(W11+Z11)/$I$1+P11</f>
        <v>291.42857142857144</v>
      </c>
      <c r="AB11" s="3"/>
      <c r="AD11" s="120"/>
      <c r="AE11" s="1"/>
      <c r="AF11" s="258"/>
      <c r="AG11" s="1"/>
      <c r="AH11" s="1"/>
      <c r="AI11" s="1"/>
      <c r="AJ11" s="87"/>
      <c r="AL11" s="1"/>
      <c r="AM11" s="1"/>
      <c r="AN11" s="1"/>
      <c r="AO11" s="1"/>
      <c r="AP11" s="1"/>
      <c r="AQ11" s="1"/>
      <c r="AR11" s="1"/>
      <c r="AS11" s="1"/>
    </row>
    <row r="12" spans="1:45" x14ac:dyDescent="0.25">
      <c r="A12" s="1" t="s">
        <v>369</v>
      </c>
      <c r="B12" s="64"/>
      <c r="C12" s="64"/>
      <c r="D12" s="276"/>
      <c r="E12" s="275">
        <v>11</v>
      </c>
      <c r="F12" s="275"/>
      <c r="G12" s="275"/>
      <c r="H12" s="275">
        <v>10</v>
      </c>
      <c r="I12" s="275">
        <v>1</v>
      </c>
      <c r="J12" s="275">
        <v>0</v>
      </c>
      <c r="K12" s="275">
        <v>0</v>
      </c>
      <c r="L12" s="275">
        <v>1</v>
      </c>
      <c r="M12" s="275">
        <v>0</v>
      </c>
      <c r="N12" s="3">
        <f t="shared" si="0"/>
        <v>11</v>
      </c>
      <c r="O12" s="3">
        <f t="shared" si="1"/>
        <v>11</v>
      </c>
      <c r="P12" s="3">
        <f t="shared" si="2"/>
        <v>22</v>
      </c>
      <c r="Q12" s="3">
        <f t="shared" si="3"/>
        <v>46200</v>
      </c>
      <c r="R12" s="276"/>
      <c r="S12" s="276"/>
      <c r="T12" s="3"/>
      <c r="U12" s="276"/>
      <c r="V12" s="276"/>
      <c r="W12" s="3">
        <f>(U12+V12)*$I$2*$D$1*0.5</f>
        <v>0</v>
      </c>
      <c r="X12" s="276"/>
      <c r="Y12" s="276"/>
      <c r="Z12" s="3">
        <f t="shared" si="4"/>
        <v>0</v>
      </c>
      <c r="AA12" s="3">
        <f>(W12+Z12)/$I$1+P12</f>
        <v>22</v>
      </c>
      <c r="AB12" s="3"/>
      <c r="AD12" s="285">
        <v>0</v>
      </c>
      <c r="AE12" s="58">
        <f>IF(AF12&gt;0,(P12-D12*2)*(J12+M12)/(I12+L12),0)</f>
        <v>0</v>
      </c>
      <c r="AF12" s="258">
        <f>SUM(M12,J12)</f>
        <v>0</v>
      </c>
      <c r="AG12" s="1"/>
      <c r="AH12" s="1"/>
      <c r="AI12" s="1"/>
      <c r="AJ12" s="87"/>
      <c r="AL12" s="1"/>
      <c r="AM12" s="1">
        <v>200</v>
      </c>
      <c r="AN12" s="1" t="s">
        <v>278</v>
      </c>
      <c r="AO12" s="1">
        <v>192</v>
      </c>
      <c r="AP12" s="1"/>
      <c r="AQ12" s="1"/>
      <c r="AR12" s="1"/>
      <c r="AS12" s="1"/>
    </row>
    <row r="13" spans="1:45" x14ac:dyDescent="0.25">
      <c r="A13" s="1"/>
      <c r="B13" s="64"/>
      <c r="C13" s="64"/>
      <c r="D13" s="276"/>
      <c r="E13" s="275"/>
      <c r="F13" s="275"/>
      <c r="G13" s="275"/>
      <c r="H13" s="275"/>
      <c r="I13" s="290"/>
      <c r="J13" s="290"/>
      <c r="K13" s="290"/>
      <c r="L13" s="290"/>
      <c r="M13" s="290"/>
      <c r="N13" s="3"/>
      <c r="O13" s="3"/>
      <c r="P13" s="3"/>
      <c r="Q13" s="3"/>
      <c r="R13" s="276"/>
      <c r="S13" s="276"/>
      <c r="T13" s="3"/>
      <c r="U13" s="276"/>
      <c r="V13" s="276"/>
      <c r="W13" s="3"/>
      <c r="X13" s="276"/>
      <c r="Y13" s="276"/>
      <c r="Z13" s="3"/>
      <c r="AA13" s="3"/>
      <c r="AB13" s="3"/>
      <c r="AD13" s="285"/>
      <c r="AE13" s="58"/>
      <c r="AF13" s="258"/>
      <c r="AG13" s="1"/>
      <c r="AH13" s="1"/>
      <c r="AI13" s="1"/>
      <c r="AJ13" s="87"/>
      <c r="AL13" s="1"/>
      <c r="AM13" s="1"/>
      <c r="AN13" s="1"/>
      <c r="AO13" s="1"/>
      <c r="AP13" s="1"/>
      <c r="AQ13" s="1"/>
      <c r="AR13" s="1"/>
      <c r="AS13" s="1"/>
    </row>
    <row r="14" spans="1:45" x14ac:dyDescent="0.25">
      <c r="A14" s="2" t="s">
        <v>320</v>
      </c>
      <c r="B14" s="63"/>
      <c r="C14" s="63"/>
      <c r="D14" s="276"/>
      <c r="E14" s="275"/>
      <c r="F14" s="275"/>
      <c r="G14" s="275"/>
      <c r="H14" s="275"/>
      <c r="I14" s="275"/>
      <c r="J14" s="275"/>
      <c r="K14" s="275"/>
      <c r="L14" s="275"/>
      <c r="M14" s="275"/>
      <c r="N14" s="3"/>
      <c r="O14" s="3"/>
      <c r="P14" s="3"/>
      <c r="Q14" s="3"/>
      <c r="R14" s="276"/>
      <c r="S14" s="276"/>
      <c r="T14" s="3"/>
      <c r="U14" s="276"/>
      <c r="V14" s="276"/>
      <c r="W14" s="3"/>
      <c r="X14" s="276"/>
      <c r="Y14" s="276"/>
      <c r="Z14" s="3"/>
      <c r="AA14" s="3"/>
      <c r="AB14" s="3"/>
      <c r="AD14" s="285"/>
      <c r="AE14" s="58"/>
      <c r="AF14" s="258"/>
      <c r="AG14" s="1"/>
      <c r="AH14" s="1"/>
      <c r="AI14" s="1"/>
      <c r="AJ14" s="87"/>
      <c r="AL14" s="1"/>
      <c r="AM14" s="1"/>
      <c r="AN14" s="1"/>
      <c r="AO14" s="1"/>
      <c r="AP14" s="1"/>
      <c r="AQ14" s="1"/>
      <c r="AR14" s="1"/>
      <c r="AS14" s="1"/>
    </row>
    <row r="15" spans="1:45" x14ac:dyDescent="0.25">
      <c r="A15" s="2" t="s">
        <v>316</v>
      </c>
      <c r="B15" s="63">
        <v>12</v>
      </c>
      <c r="C15" s="63">
        <f>$B$3*B15*2</f>
        <v>576</v>
      </c>
      <c r="D15" s="276"/>
      <c r="E15" s="275"/>
      <c r="F15" s="275"/>
      <c r="G15" s="275"/>
      <c r="H15" s="275"/>
      <c r="I15" s="275"/>
      <c r="J15" s="275"/>
      <c r="K15" s="275"/>
      <c r="L15" s="275"/>
      <c r="M15" s="275"/>
      <c r="N15" s="3"/>
      <c r="O15" s="3"/>
      <c r="P15" s="3"/>
      <c r="Q15" s="3"/>
      <c r="R15" s="276"/>
      <c r="S15" s="276"/>
      <c r="T15" s="3"/>
      <c r="U15" s="276"/>
      <c r="V15" s="276"/>
      <c r="W15" s="3"/>
      <c r="X15" s="276"/>
      <c r="Y15" s="276"/>
      <c r="Z15" s="3"/>
      <c r="AA15" s="3"/>
      <c r="AB15" s="3"/>
      <c r="AD15" s="285"/>
      <c r="AE15" s="58"/>
      <c r="AF15" s="258"/>
      <c r="AG15" s="1"/>
      <c r="AH15" s="1"/>
      <c r="AI15" s="1"/>
      <c r="AJ15" s="87"/>
      <c r="AL15" s="1"/>
      <c r="AM15" s="1"/>
      <c r="AN15" s="1"/>
      <c r="AO15" s="1"/>
      <c r="AP15" s="1"/>
      <c r="AQ15" s="1"/>
      <c r="AR15" s="1"/>
      <c r="AS15" s="1"/>
    </row>
    <row r="16" spans="1:45" x14ac:dyDescent="0.25">
      <c r="A16" s="1" t="s">
        <v>28</v>
      </c>
      <c r="B16" s="64">
        <v>6</v>
      </c>
      <c r="C16" s="63">
        <f>$B$3*B16*2</f>
        <v>288</v>
      </c>
      <c r="D16" s="276">
        <v>24</v>
      </c>
      <c r="E16" s="275">
        <v>16</v>
      </c>
      <c r="F16" s="275"/>
      <c r="G16" s="275"/>
      <c r="H16" s="275">
        <v>36</v>
      </c>
      <c r="I16" s="275">
        <v>6</v>
      </c>
      <c r="J16" s="275">
        <v>1</v>
      </c>
      <c r="K16" s="275">
        <f>+IF(F16&gt;0,$D$1/#REF!,0)</f>
        <v>0</v>
      </c>
      <c r="L16" s="275">
        <v>6</v>
      </c>
      <c r="M16" s="275">
        <v>1</v>
      </c>
      <c r="N16" s="3">
        <f t="shared" si="0"/>
        <v>120</v>
      </c>
      <c r="O16" s="3">
        <f t="shared" si="1"/>
        <v>120</v>
      </c>
      <c r="P16" s="3">
        <f t="shared" ref="P16:P22" si="9">N16+O16</f>
        <v>240</v>
      </c>
      <c r="Q16" s="3">
        <f>P16*$I$1</f>
        <v>504000</v>
      </c>
      <c r="R16" s="276">
        <v>1</v>
      </c>
      <c r="S16" s="276">
        <v>1</v>
      </c>
      <c r="T16" s="3">
        <f>(R16+S16)*$I$2*$D$1</f>
        <v>146200</v>
      </c>
      <c r="U16" s="276"/>
      <c r="V16" s="276"/>
      <c r="W16" s="3">
        <f>(U16+V16)*$I$2*$D$1*0.5</f>
        <v>0</v>
      </c>
      <c r="X16" s="276">
        <v>1</v>
      </c>
      <c r="Y16" s="276">
        <v>1</v>
      </c>
      <c r="Z16" s="3">
        <f>(X16+Y16)*$I$2*$D$1*0.5</f>
        <v>73100</v>
      </c>
      <c r="AA16" s="3">
        <f>(W16+Z16+T16)/$I$1+P16</f>
        <v>344.42857142857144</v>
      </c>
      <c r="AB16" s="3"/>
      <c r="AD16" s="285">
        <f>D14*$AD$4*2</f>
        <v>0</v>
      </c>
      <c r="AE16" s="58">
        <f>IF(AF16&gt;0,(P16-D16*2)*(J16+M16)/(I16+L16),0)</f>
        <v>32</v>
      </c>
      <c r="AF16" s="258">
        <f>SUM(M16,J16)</f>
        <v>2</v>
      </c>
      <c r="AG16" s="1"/>
      <c r="AH16" s="1"/>
      <c r="AI16" s="1"/>
      <c r="AJ16" s="87"/>
      <c r="AL16" s="1"/>
      <c r="AM16" s="1"/>
      <c r="AN16" s="1"/>
      <c r="AO16" s="1"/>
      <c r="AP16" s="1"/>
      <c r="AQ16" s="1"/>
      <c r="AR16" s="1"/>
      <c r="AS16" s="1"/>
    </row>
    <row r="17" spans="1:45" x14ac:dyDescent="0.25">
      <c r="A17" s="1" t="s">
        <v>29</v>
      </c>
      <c r="B17" s="64">
        <v>6</v>
      </c>
      <c r="C17" s="63">
        <f>$B$3*B17*2</f>
        <v>288</v>
      </c>
      <c r="D17" s="276">
        <v>18</v>
      </c>
      <c r="E17" s="275">
        <v>14</v>
      </c>
      <c r="F17" s="275"/>
      <c r="G17" s="275"/>
      <c r="H17" s="275">
        <v>36</v>
      </c>
      <c r="I17" s="275">
        <v>6</v>
      </c>
      <c r="J17" s="275">
        <v>3</v>
      </c>
      <c r="K17" s="275">
        <f>+IF(F17&gt;0,$D$1/#REF!,0)</f>
        <v>0</v>
      </c>
      <c r="L17" s="275">
        <v>6</v>
      </c>
      <c r="M17" s="275">
        <v>3</v>
      </c>
      <c r="N17" s="3">
        <f t="shared" si="0"/>
        <v>102</v>
      </c>
      <c r="O17" s="3">
        <f t="shared" si="1"/>
        <v>102</v>
      </c>
      <c r="P17" s="3">
        <f t="shared" si="9"/>
        <v>204</v>
      </c>
      <c r="Q17" s="3">
        <f>P17*$I$1</f>
        <v>428400</v>
      </c>
      <c r="R17" s="276">
        <v>1</v>
      </c>
      <c r="S17" s="276">
        <v>1</v>
      </c>
      <c r="T17" s="3">
        <f>(R17+S17)*$I$2*$D$1</f>
        <v>146200</v>
      </c>
      <c r="U17" s="276"/>
      <c r="V17" s="276"/>
      <c r="W17" s="3">
        <f>(U17+V17)*$I$2*$D$1*0.5</f>
        <v>0</v>
      </c>
      <c r="X17" s="276">
        <v>1</v>
      </c>
      <c r="Y17" s="276">
        <v>1</v>
      </c>
      <c r="Z17" s="3">
        <f>(X17+Y17)*$I$2*$D$1*0.5</f>
        <v>73100</v>
      </c>
      <c r="AA17" s="3">
        <f>(W17+Z17+T17)/$I$1+P17</f>
        <v>308.42857142857144</v>
      </c>
      <c r="AB17" s="3"/>
      <c r="AD17" s="285">
        <v>0</v>
      </c>
      <c r="AE17" s="58">
        <f>IF(AF17&gt;0,(P17-D17*2)*(J17+M17)/(I17+L17),0)</f>
        <v>84</v>
      </c>
      <c r="AF17" s="258">
        <f>SUM(M17,J17)</f>
        <v>6</v>
      </c>
      <c r="AG17" s="1"/>
      <c r="AH17" s="1"/>
      <c r="AI17" s="1"/>
      <c r="AJ17" s="87"/>
      <c r="AL17" s="1"/>
      <c r="AM17" s="1"/>
      <c r="AN17" s="1"/>
      <c r="AO17" s="1"/>
      <c r="AP17" s="1"/>
      <c r="AQ17" s="1"/>
      <c r="AR17" s="1"/>
      <c r="AS17" s="1"/>
    </row>
    <row r="18" spans="1:45" x14ac:dyDescent="0.25">
      <c r="A18" s="2" t="s">
        <v>321</v>
      </c>
      <c r="B18" s="64"/>
      <c r="C18" s="63"/>
      <c r="D18" s="276"/>
      <c r="E18" s="275"/>
      <c r="F18" s="275"/>
      <c r="G18" s="275"/>
      <c r="H18" s="275"/>
      <c r="I18" s="275"/>
      <c r="J18" s="275"/>
      <c r="K18" s="275"/>
      <c r="L18" s="275"/>
      <c r="M18" s="275"/>
      <c r="N18" s="3"/>
      <c r="O18" s="3"/>
      <c r="P18" s="3"/>
      <c r="Q18" s="3"/>
      <c r="R18" s="276"/>
      <c r="S18" s="276"/>
      <c r="T18" s="3"/>
      <c r="U18" s="276"/>
      <c r="V18" s="276"/>
      <c r="W18" s="3"/>
      <c r="X18" s="276"/>
      <c r="Y18" s="276"/>
      <c r="Z18" s="3"/>
      <c r="AA18" s="3"/>
      <c r="AB18" s="3"/>
      <c r="AD18" s="285"/>
      <c r="AE18" s="58"/>
      <c r="AF18" s="258"/>
      <c r="AG18" s="1"/>
      <c r="AH18" s="1"/>
      <c r="AI18" s="1"/>
      <c r="AJ18" s="87"/>
      <c r="AL18" s="1"/>
      <c r="AM18" s="1"/>
      <c r="AN18" s="1"/>
      <c r="AO18" s="1"/>
      <c r="AP18" s="1"/>
      <c r="AQ18" s="1"/>
      <c r="AR18" s="1"/>
      <c r="AS18" s="1"/>
    </row>
    <row r="19" spans="1:45" x14ac:dyDescent="0.25">
      <c r="A19" s="2" t="s">
        <v>322</v>
      </c>
      <c r="B19" s="64"/>
      <c r="C19" s="63"/>
      <c r="D19" s="276"/>
      <c r="E19" s="275"/>
      <c r="F19" s="275"/>
      <c r="G19" s="275"/>
      <c r="H19" s="275"/>
      <c r="I19" s="275"/>
      <c r="J19" s="275"/>
      <c r="K19" s="275"/>
      <c r="L19" s="275"/>
      <c r="M19" s="275"/>
      <c r="N19" s="3"/>
      <c r="O19" s="3"/>
      <c r="P19" s="3"/>
      <c r="Q19" s="3"/>
      <c r="R19" s="276"/>
      <c r="S19" s="276"/>
      <c r="T19" s="3"/>
      <c r="U19" s="276"/>
      <c r="V19" s="276"/>
      <c r="W19" s="3"/>
      <c r="X19" s="276"/>
      <c r="Y19" s="276"/>
      <c r="Z19" s="3"/>
      <c r="AA19" s="3"/>
      <c r="AB19" s="3"/>
      <c r="AD19" s="285"/>
      <c r="AE19" s="58"/>
      <c r="AF19" s="258"/>
      <c r="AG19" s="1"/>
      <c r="AH19" s="1"/>
      <c r="AI19" s="1"/>
      <c r="AJ19" s="87"/>
      <c r="AL19" s="1"/>
      <c r="AM19" s="1"/>
      <c r="AN19" s="1"/>
      <c r="AO19" s="1"/>
      <c r="AP19" s="1"/>
      <c r="AQ19" s="1"/>
      <c r="AR19" s="1"/>
      <c r="AS19" s="1"/>
    </row>
    <row r="20" spans="1:45" x14ac:dyDescent="0.25">
      <c r="A20" s="1" t="s">
        <v>30</v>
      </c>
      <c r="B20" s="63">
        <v>8</v>
      </c>
      <c r="C20" s="63">
        <f>$B$3*B20*2</f>
        <v>384</v>
      </c>
      <c r="D20" s="276">
        <v>16</v>
      </c>
      <c r="E20" s="275">
        <v>8</v>
      </c>
      <c r="F20" s="275"/>
      <c r="G20" s="275"/>
      <c r="H20" s="275">
        <v>50</v>
      </c>
      <c r="I20" s="275">
        <v>8</v>
      </c>
      <c r="J20" s="275">
        <v>0</v>
      </c>
      <c r="K20" s="275">
        <f>+IF(F20&gt;0,$D$1/#REF!,0)</f>
        <v>0</v>
      </c>
      <c r="L20" s="275">
        <v>4</v>
      </c>
      <c r="M20" s="275">
        <v>0</v>
      </c>
      <c r="N20" s="3">
        <f>D20+(E20*I20)</f>
        <v>80</v>
      </c>
      <c r="O20" s="3">
        <f>D20+(E20*L20)</f>
        <v>48</v>
      </c>
      <c r="P20" s="3">
        <f t="shared" si="9"/>
        <v>128</v>
      </c>
      <c r="Q20" s="3">
        <f>P20*$I$1</f>
        <v>268800</v>
      </c>
      <c r="R20" s="276"/>
      <c r="S20" s="276"/>
      <c r="T20" s="3"/>
      <c r="U20" s="276"/>
      <c r="V20" s="276"/>
      <c r="W20" s="3">
        <f>(U20+V20)*$I$2*$D$1*0.5</f>
        <v>0</v>
      </c>
      <c r="X20" s="276"/>
      <c r="Y20" s="276"/>
      <c r="Z20" s="3">
        <f>(X20+Y20)*$I$2*$D$1*0.5</f>
        <v>0</v>
      </c>
      <c r="AA20" s="3">
        <f>(W20+Z20)/$I$1+P20</f>
        <v>128</v>
      </c>
      <c r="AB20" s="3"/>
      <c r="AD20" s="285">
        <v>0</v>
      </c>
      <c r="AE20" s="58">
        <f>IF(AF20&gt;0,(P20-D20*2)*(J20+M20)/(I20+L20),0)</f>
        <v>0</v>
      </c>
      <c r="AF20" s="258">
        <f>SUM(M20,J20)</f>
        <v>0</v>
      </c>
      <c r="AG20" s="1"/>
      <c r="AH20" s="1"/>
      <c r="AI20" s="1"/>
      <c r="AJ20" s="87"/>
      <c r="AL20" s="1">
        <v>115</v>
      </c>
      <c r="AM20" s="1">
        <v>181</v>
      </c>
      <c r="AN20" s="1">
        <v>111</v>
      </c>
      <c r="AO20" s="1">
        <v>204</v>
      </c>
      <c r="AP20" s="1"/>
      <c r="AQ20" s="1"/>
      <c r="AR20" s="1"/>
      <c r="AS20" s="1"/>
    </row>
    <row r="21" spans="1:45" x14ac:dyDescent="0.25">
      <c r="A21" s="1"/>
      <c r="B21" s="64"/>
      <c r="C21" s="64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3"/>
      <c r="O21" s="3"/>
      <c r="P21" s="3"/>
      <c r="Q21" s="3"/>
      <c r="R21" s="276"/>
      <c r="S21" s="276"/>
      <c r="T21" s="3"/>
      <c r="U21" s="276"/>
      <c r="V21" s="276"/>
      <c r="W21" s="3"/>
      <c r="X21" s="276"/>
      <c r="Y21" s="276"/>
      <c r="Z21" s="3"/>
      <c r="AA21" s="3"/>
      <c r="AB21" s="3"/>
      <c r="AD21" s="285"/>
      <c r="AE21" s="58"/>
      <c r="AF21" s="258"/>
      <c r="AG21" s="1"/>
      <c r="AH21" s="1"/>
      <c r="AI21" s="1"/>
      <c r="AJ21" s="87"/>
      <c r="AL21" s="1">
        <v>105</v>
      </c>
      <c r="AM21" s="1">
        <v>179</v>
      </c>
      <c r="AN21" s="1">
        <v>112</v>
      </c>
      <c r="AO21" s="1">
        <v>203</v>
      </c>
      <c r="AP21" s="1"/>
      <c r="AQ21" s="1"/>
      <c r="AR21" s="1"/>
      <c r="AS21" s="1"/>
    </row>
    <row r="22" spans="1:45" x14ac:dyDescent="0.25">
      <c r="A22" s="1" t="s">
        <v>325</v>
      </c>
      <c r="B22" s="64"/>
      <c r="C22" s="64"/>
      <c r="D22" s="276">
        <v>8</v>
      </c>
      <c r="E22" s="276"/>
      <c r="F22" s="276"/>
      <c r="G22" s="276"/>
      <c r="H22" s="276"/>
      <c r="I22" s="276"/>
      <c r="J22" s="276"/>
      <c r="K22" s="276">
        <f>+IF(F22&gt;0,$D$1/#REF!,0)</f>
        <v>0</v>
      </c>
      <c r="L22" s="276"/>
      <c r="M22" s="276"/>
      <c r="N22" s="3">
        <f>D22+(E22*I22)</f>
        <v>8</v>
      </c>
      <c r="O22" s="3">
        <f>D22+(E22*L22)</f>
        <v>8</v>
      </c>
      <c r="P22" s="3">
        <f t="shared" si="9"/>
        <v>16</v>
      </c>
      <c r="Q22" s="3">
        <f>P22*$I$1</f>
        <v>33600</v>
      </c>
      <c r="R22" s="276"/>
      <c r="S22" s="276"/>
      <c r="T22" s="3"/>
      <c r="U22" s="276"/>
      <c r="V22" s="276"/>
      <c r="W22" s="3">
        <f>(U22+V22)*$I$2*$D$1*0.5</f>
        <v>0</v>
      </c>
      <c r="X22" s="276"/>
      <c r="Y22" s="276"/>
      <c r="Z22" s="3">
        <f>(X22+Y22)*$I$2*$D$1*0.5</f>
        <v>0</v>
      </c>
      <c r="AA22" s="3">
        <f>(W22+Z22)/$I$1+P22</f>
        <v>16</v>
      </c>
      <c r="AB22" s="3"/>
      <c r="AD22" s="285">
        <v>0</v>
      </c>
      <c r="AE22" s="58">
        <f>IF(AF22&gt;0,(P22-D22*2)*(J22+M22)/(I22+L22),0)</f>
        <v>0</v>
      </c>
      <c r="AF22" s="258">
        <f>SUM(M22,J22)</f>
        <v>0</v>
      </c>
      <c r="AG22" s="1"/>
      <c r="AH22" s="1"/>
      <c r="AI22" s="1"/>
      <c r="AJ22" s="87"/>
      <c r="AL22" s="1"/>
      <c r="AM22" s="1"/>
      <c r="AN22" s="1"/>
      <c r="AO22" s="1"/>
      <c r="AP22" s="1"/>
      <c r="AQ22" s="1"/>
      <c r="AR22" s="1"/>
      <c r="AS22" s="1"/>
    </row>
    <row r="23" spans="1:45" x14ac:dyDescent="0.25">
      <c r="A23" s="1"/>
      <c r="B23" s="64"/>
      <c r="C23" s="64"/>
      <c r="D23" s="8"/>
      <c r="E23" s="8"/>
      <c r="F23" s="8"/>
      <c r="G23" s="8"/>
      <c r="H23" s="8"/>
      <c r="I23" s="120"/>
      <c r="J23" s="120"/>
      <c r="K23" s="120"/>
      <c r="L23" s="120"/>
      <c r="M23" s="120"/>
      <c r="N23" s="1"/>
      <c r="O23" s="1"/>
      <c r="P23" s="1"/>
      <c r="Q23" s="3"/>
      <c r="R23" s="276"/>
      <c r="S23" s="276"/>
      <c r="T23" s="3"/>
      <c r="U23" s="8"/>
      <c r="V23" s="8"/>
      <c r="W23" s="3"/>
      <c r="X23" s="8"/>
      <c r="Y23" s="8"/>
      <c r="Z23" s="3"/>
      <c r="AA23" s="3"/>
      <c r="AB23" s="3"/>
      <c r="AD23" s="305"/>
      <c r="AE23" s="58"/>
      <c r="AF23" s="258"/>
      <c r="AG23" s="1"/>
      <c r="AH23" s="1"/>
      <c r="AI23" s="1"/>
      <c r="AJ23" s="87"/>
      <c r="AL23" s="1"/>
      <c r="AM23" s="1"/>
      <c r="AN23" s="1"/>
      <c r="AO23" s="1"/>
      <c r="AP23" s="1"/>
      <c r="AQ23" s="1"/>
      <c r="AR23" s="1"/>
      <c r="AS23" s="1"/>
    </row>
    <row r="24" spans="1:45" ht="45" x14ac:dyDescent="0.25">
      <c r="A24" s="6" t="s">
        <v>8</v>
      </c>
      <c r="B24" s="63"/>
      <c r="C24" s="63">
        <f>SUM(C8,C15,C20)</f>
        <v>2016</v>
      </c>
      <c r="D24" s="9">
        <f>SUM(D7:D20)</f>
        <v>94</v>
      </c>
      <c r="E24" s="9">
        <f>SUM(E7:E20)</f>
        <v>86</v>
      </c>
      <c r="F24" s="9">
        <f>SUM(F7:F20)</f>
        <v>0</v>
      </c>
      <c r="G24" s="9">
        <f>SUM(G7:G20)</f>
        <v>0</v>
      </c>
      <c r="H24" s="8"/>
      <c r="I24" s="123"/>
      <c r="J24" s="123"/>
      <c r="K24" s="123"/>
      <c r="L24" s="123"/>
      <c r="M24" s="123"/>
      <c r="N24" s="4">
        <f>SUM(N7:N22)</f>
        <v>690</v>
      </c>
      <c r="O24" s="4">
        <f>SUM(O7:O22)</f>
        <v>621</v>
      </c>
      <c r="P24" s="4">
        <f>SUM(P7:P22)</f>
        <v>1311</v>
      </c>
      <c r="Q24" s="4">
        <f>SUM(Q7:Q22)</f>
        <v>2753100</v>
      </c>
      <c r="R24" s="4">
        <f>SUM(R9:R22)</f>
        <v>2</v>
      </c>
      <c r="S24" s="4">
        <f t="shared" ref="S24:Z24" si="10">SUM(S9:S22)</f>
        <v>2</v>
      </c>
      <c r="T24" s="125">
        <f>SUM(T10:T22)</f>
        <v>292400</v>
      </c>
      <c r="U24" s="9">
        <f t="shared" si="10"/>
        <v>3</v>
      </c>
      <c r="V24" s="9">
        <f t="shared" si="10"/>
        <v>3</v>
      </c>
      <c r="W24" s="125">
        <f>SUM(W10:W22)</f>
        <v>219300</v>
      </c>
      <c r="X24" s="9">
        <f t="shared" si="10"/>
        <v>2</v>
      </c>
      <c r="Y24" s="9">
        <f t="shared" si="10"/>
        <v>2</v>
      </c>
      <c r="Z24" s="125">
        <f t="shared" si="10"/>
        <v>146200</v>
      </c>
      <c r="AA24" s="125">
        <f>SUM(AA9:AA22)</f>
        <v>1624.2857142857142</v>
      </c>
      <c r="AB24" s="4">
        <f>Q24+W24+Z24+T24</f>
        <v>3411000</v>
      </c>
      <c r="AC24" s="223" t="s">
        <v>319</v>
      </c>
      <c r="AD24" s="15">
        <f>SUM(AD9:AD22)</f>
        <v>0</v>
      </c>
      <c r="AE24" s="15">
        <f>SUM(AE9:AE22)</f>
        <v>116</v>
      </c>
      <c r="AF24" s="1"/>
      <c r="AG24" s="15">
        <f>SUM(AG9:AG22)</f>
        <v>0</v>
      </c>
      <c r="AH24" s="2">
        <f>AH25/5</f>
        <v>215</v>
      </c>
      <c r="AI24" s="15">
        <f>SUM(AI9:AI22)</f>
        <v>0</v>
      </c>
      <c r="AJ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5">
      <c r="A25" s="1"/>
      <c r="B25" s="64"/>
      <c r="C25" s="6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t="s">
        <v>318</v>
      </c>
      <c r="AD25" s="15">
        <f>SUM(AD9:AD22)*5</f>
        <v>0</v>
      </c>
      <c r="AE25" s="15">
        <f>SUM(AE9:AE22)*5</f>
        <v>580</v>
      </c>
      <c r="AF25" s="2"/>
      <c r="AG25" s="2">
        <f>SUM(AG9:AG22)*5</f>
        <v>0</v>
      </c>
      <c r="AH25" s="2">
        <f>(W24+Z24)/I2</f>
        <v>1075</v>
      </c>
      <c r="AI25" s="2">
        <f>AI24*5</f>
        <v>0</v>
      </c>
      <c r="AJ25" s="2"/>
      <c r="AL25" s="1"/>
      <c r="AM25" s="1"/>
      <c r="AN25" s="1"/>
      <c r="AO25" s="1"/>
      <c r="AP25" s="1"/>
      <c r="AQ25" s="1"/>
      <c r="AR25" s="1"/>
      <c r="AS25" s="1"/>
    </row>
    <row r="26" spans="1:45" s="7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D26" s="1"/>
      <c r="AE26" s="1"/>
      <c r="AF26" s="1"/>
      <c r="AG26" s="1"/>
      <c r="AH26" s="1"/>
      <c r="AI26" s="1"/>
      <c r="AJ26" s="1"/>
      <c r="AL26" s="2"/>
      <c r="AM26" s="2"/>
      <c r="AN26" s="2"/>
      <c r="AO26" s="2"/>
      <c r="AP26" s="2"/>
      <c r="AQ26" s="2"/>
      <c r="AR26" s="2"/>
      <c r="AS26" s="2"/>
    </row>
    <row r="27" spans="1:45" x14ac:dyDescent="0.25">
      <c r="AL27" s="1"/>
      <c r="AM27" s="1"/>
      <c r="AN27" s="1"/>
      <c r="AO27" s="1"/>
      <c r="AP27" s="1"/>
      <c r="AQ27" s="1"/>
      <c r="AR27" s="1"/>
      <c r="AS27" s="1"/>
    </row>
    <row r="28" spans="1:45" x14ac:dyDescent="0.25">
      <c r="A28" s="223"/>
    </row>
    <row r="29" spans="1:45" x14ac:dyDescent="0.25">
      <c r="A29" s="223"/>
    </row>
    <row r="30" spans="1:45" ht="15.75" thickBot="1" x14ac:dyDescent="0.3"/>
    <row r="31" spans="1:45" ht="16.5" thickBot="1" x14ac:dyDescent="0.3">
      <c r="D31" s="312" t="s">
        <v>97</v>
      </c>
      <c r="E31" s="313"/>
      <c r="F31" s="313"/>
      <c r="G31" s="313"/>
      <c r="H31" s="313"/>
      <c r="I31" s="313"/>
      <c r="J31" s="313"/>
      <c r="K31" s="313"/>
      <c r="L31" s="313"/>
      <c r="M31" s="313"/>
    </row>
    <row r="33" ht="16.5" customHeight="1" x14ac:dyDescent="0.25"/>
  </sheetData>
  <sheetProtection algorithmName="SHA-512" hashValue="cSe46DjdCn3MolyJIkduQehhrVqU2MYXJpmRy3BrAyLE8bq0s5K0iKoPfQiZhkwYW5Y++xQvkNStB9K9DFkCOg==" saltValue="Usw8HN1MEu8R8B8lRqgpqA==" spinCount="100000" sheet="1" objects="1" scenarios="1" selectLockedCells="1"/>
  <customSheetViews>
    <customSheetView guid="{54055508-3439-4A0A-A803-01A23ABF8DBD}" scale="84" fitToPage="1" hiddenColumns="1">
      <pane xSplit="1" topLeftCell="B1" activePane="topRight" state="frozen"/>
      <selection pane="topRight" activeCell="D1" sqref="D1"/>
      <pageMargins left="7.874015748031496E-2" right="7.874015748031496E-2" top="0.78740157480314965" bottom="0.78740157480314965" header="0.31496062992125984" footer="0.31496062992125984"/>
      <pageSetup paperSize="9" scale="28" orientation="landscape" r:id="rId1"/>
      <headerFooter>
        <oddHeader>&amp;C&amp;"-,Fet"&amp;14 3. studieår</oddHeader>
      </headerFooter>
    </customSheetView>
    <customSheetView guid="{7084DC93-B2BE-4098-87E1-DAC5FBCE0E0A}" scale="87" fitToPage="1" hiddenColumns="1" topLeftCell="A6">
      <pane xSplit="1" topLeftCell="B1" activePane="topRight" state="frozen"/>
      <selection pane="topRight" activeCell="K11" sqref="K11"/>
      <pageMargins left="7.874015748031496E-2" right="7.874015748031496E-2" top="0.78740157480314965" bottom="0.78740157480314965" header="0.31496062992125984" footer="0.31496062992125984"/>
      <pageSetup paperSize="9" scale="28" orientation="landscape" r:id="rId2"/>
      <headerFooter>
        <oddHeader>&amp;C&amp;"-,Fet"&amp;14 3. studieår</oddHeader>
      </headerFooter>
    </customSheetView>
    <customSheetView guid="{37BC2192-ABF8-4439-93C4-8E65E7EF90F5}" fitToPage="1" hiddenColumns="1">
      <pane xSplit="1" topLeftCell="D1" activePane="topRight" state="frozen"/>
      <selection pane="topRight" activeCell="I15" sqref="I15"/>
      <pageMargins left="7.874015748031496E-2" right="7.874015748031496E-2" top="0.78740157480314965" bottom="0.78740157480314965" header="0.31496062992125984" footer="0.31496062992125984"/>
      <pageSetup paperSize="9" scale="28" orientation="landscape" r:id="rId3"/>
      <headerFooter>
        <oddHeader>&amp;C&amp;"-,Fet"&amp;14 3. studieår</oddHeader>
      </headerFooter>
    </customSheetView>
    <customSheetView guid="{1283C6B5-B05C-447B-8854-CDB081C03FD4}" scale="80" fitToPage="1" hiddenColumns="1" topLeftCell="A7">
      <pane xSplit="1" topLeftCell="B1" activePane="topRight" state="frozen"/>
      <selection pane="topRight" activeCell="K12" sqref="K12"/>
      <pageMargins left="7.874015748031496E-2" right="7.874015748031496E-2" top="0.78740157480314965" bottom="0.78740157480314965" header="0.31496062992125984" footer="0.31496062992125984"/>
      <pageSetup paperSize="9" scale="28" orientation="landscape" r:id="rId4"/>
      <headerFooter>
        <oddHeader>&amp;C&amp;"-,Fet"&amp;14 3. studieår</oddHeader>
      </headerFooter>
    </customSheetView>
    <customSheetView guid="{F170D8DF-3539-4353-BD8B-1F5EB452DAE5}" fitToPage="1" hiddenColumns="1" topLeftCell="A7">
      <pane xSplit="1" topLeftCell="S1" activePane="topRight" state="frozen"/>
      <selection pane="topRight" activeCell="E18" sqref="E18"/>
      <pageMargins left="7.874015748031496E-2" right="7.874015748031496E-2" top="0.78740157480314965" bottom="0.78740157480314965" header="0.31496062992125984" footer="0.31496062992125984"/>
      <pageSetup paperSize="9" scale="28" orientation="landscape" r:id="rId5"/>
      <headerFooter>
        <oddHeader>&amp;C&amp;"-,Fet"&amp;14 3. studieår</oddHeader>
      </headerFooter>
    </customSheetView>
    <customSheetView guid="{F727610F-D041-4412-A81F-AFD013C44971}" fitToPage="1" hiddenColumns="1">
      <pane xSplit="1" topLeftCell="B1" activePane="topRight" state="frozen"/>
      <selection pane="topRight" activeCell="E18" sqref="E18"/>
      <pageMargins left="7.874015748031496E-2" right="7.874015748031496E-2" top="0.78740157480314965" bottom="0.78740157480314965" header="0.31496062992125984" footer="0.31496062992125984"/>
      <pageSetup paperSize="9" scale="28" orientation="landscape" r:id="rId6"/>
      <headerFooter>
        <oddHeader>&amp;C&amp;"-,Fet"&amp;14 3. studieår</oddHeader>
      </headerFooter>
    </customSheetView>
    <customSheetView guid="{46AB9545-8BEE-4A2F-B820-9F80AC24A11B}" scale="90" fitToPage="1" hiddenColumns="1">
      <pane xSplit="1" topLeftCell="D1" activePane="topRight" state="frozen"/>
      <selection pane="topRight" activeCell="K23" sqref="K23"/>
      <pageMargins left="7.874015748031496E-2" right="7.874015748031496E-2" top="0.78740157480314965" bottom="0.78740157480314965" header="0.31496062992125984" footer="0.31496062992125984"/>
      <pageSetup paperSize="9" scale="28" orientation="landscape" r:id="rId7"/>
      <headerFooter>
        <oddHeader>&amp;C&amp;"-,Fet"&amp;14 3. studieår</oddHeader>
      </headerFooter>
    </customSheetView>
    <customSheetView guid="{E5349645-7714-4437-B9BC-26ED822E5BC5}" scale="90" fitToPage="1" hiddenColumns="1">
      <pane xSplit="1" topLeftCell="E1" activePane="topRight" state="frozen"/>
      <selection pane="topRight" activeCell="AE17" sqref="AE17"/>
      <pageMargins left="7.874015748031496E-2" right="7.874015748031496E-2" top="0.78740157480314965" bottom="0.78740157480314965" header="0.31496062992125984" footer="0.31496062992125984"/>
      <pageSetup paperSize="9" scale="28" orientation="landscape" r:id="rId8"/>
      <headerFooter>
        <oddHeader>&amp;C&amp;"-,Fet"&amp;14 3. studieår</oddHeader>
      </headerFooter>
    </customSheetView>
    <customSheetView guid="{43EFFC0A-CCC0-43DD-A273-4AF58757EC00}" fitToPage="1" hiddenColumns="1">
      <selection activeCell="K25" sqref="K25"/>
      <pageMargins left="7.874015748031496E-2" right="7.874015748031496E-2" top="0.78740157480314965" bottom="0.78740157480314965" header="0.31496062992125984" footer="0.31496062992125984"/>
      <pageSetup paperSize="9" scale="84" orientation="landscape" r:id="rId9"/>
      <headerFooter>
        <oddHeader>&amp;C&amp;"-,Fet"&amp;14 3. studieår</oddHeader>
      </headerFooter>
    </customSheetView>
    <customSheetView guid="{7AE955BB-7BF8-4CA4-ABF1-6A0BB53A48AD}" fitToPage="1" hiddenRows="1" hiddenColumns="1" topLeftCell="A3">
      <pane xSplit="1" topLeftCell="B1" activePane="topRight" state="frozen"/>
      <selection pane="topRight" activeCell="A3" sqref="A1:A1048576"/>
      <pageMargins left="7.874015748031496E-2" right="7.874015748031496E-2" top="0.78740157480314965" bottom="0.78740157480314965" header="0.31496062992125984" footer="0.31496062992125984"/>
      <pageSetup paperSize="9" scale="84" orientation="landscape" r:id="rId10"/>
      <headerFooter>
        <oddHeader>&amp;C&amp;"-,Fet"&amp;14 3. studieår</oddHeader>
      </headerFooter>
    </customSheetView>
    <customSheetView guid="{BB9ED292-532F-438C-A4A6-F8D66D70E0E7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11"/>
      <headerFooter>
        <oddHeader>&amp;C&amp;"-,Fet"&amp;14 3. studieår</oddHeader>
      </headerFooter>
    </customSheetView>
    <customSheetView guid="{726FF687-50E0-4F8A-BCCB-6DA9E6D367D4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12"/>
      <headerFooter>
        <oddHeader>&amp;C&amp;"-,Fet"&amp;14 3. studieår</oddHeader>
      </headerFooter>
    </customSheetView>
    <customSheetView guid="{B76C0EA9-E79B-4DA2-9ADE-66DB47109F8F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13"/>
      <headerFooter>
        <oddHeader>&amp;C&amp;"-,Fet"&amp;14 3. studieår</oddHeader>
      </headerFooter>
    </customSheetView>
    <customSheetView guid="{91227156-ECBD-48FD-8964-78F3608400FC}" fitToPage="1" hiddenRows="1" hiddenColumns="1">
      <selection activeCell="G18" sqref="G18"/>
      <pageMargins left="7.874015748031496E-2" right="7.874015748031496E-2" top="0.78740157480314965" bottom="0.78740157480314965" header="0.31496062992125984" footer="0.31496062992125984"/>
      <pageSetup paperSize="9" scale="84" orientation="landscape" r:id="rId14"/>
      <headerFooter>
        <oddHeader>&amp;C&amp;"-,Fet"&amp;14 3. studieår</oddHeader>
      </headerFooter>
    </customSheetView>
    <customSheetView guid="{1241DC17-BD41-46C5-9DB1-684763A09F24}" fitToPage="1" hiddenColumns="1" topLeftCell="A4">
      <selection activeCell="O37" sqref="O37"/>
      <pageMargins left="7.874015748031496E-2" right="7.874015748031496E-2" top="0.78740157480314965" bottom="0.78740157480314965" header="0.31496062992125984" footer="0.31496062992125984"/>
      <pageSetup paperSize="9" scale="46" orientation="landscape" r:id="rId15"/>
      <headerFooter>
        <oddHeader>&amp;C&amp;"-,Fet"&amp;14 3. studieår</oddHeader>
      </headerFooter>
    </customSheetView>
    <customSheetView guid="{C1FECEF4-D739-4F39-9B89-CF4C04A77A9B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16"/>
      <headerFooter>
        <oddHeader>&amp;C&amp;"-,Fet"&amp;14 3. studieår</oddHeader>
      </headerFooter>
    </customSheetView>
    <customSheetView guid="{83C69039-3E29-46E1-85FB-B9165E0BFA91}" fitToPage="1" hiddenColumns="1" topLeftCell="L4">
      <selection activeCell="L15" sqref="A15:XFD15"/>
      <pageMargins left="7.874015748031496E-2" right="7.874015748031496E-2" top="0.78740157480314965" bottom="0.78740157480314965" header="0.31496062992125984" footer="0.31496062992125984"/>
      <pageSetup paperSize="9" scale="46" orientation="landscape" r:id="rId17"/>
      <headerFooter>
        <oddHeader>&amp;C&amp;"-,Fet"&amp;14 3. studieår</oddHeader>
      </headerFooter>
    </customSheetView>
    <customSheetView guid="{F38A39FA-EF57-4062-A2AD-F3BEB88C5762}" fitToPage="1" hiddenColumns="1">
      <selection activeCell="E20" sqref="E20"/>
      <pageMargins left="7.874015748031496E-2" right="7.874015748031496E-2" top="0.78740157480314965" bottom="0.78740157480314965" header="0.31496062992125984" footer="0.31496062992125984"/>
      <pageSetup paperSize="9" scale="84" orientation="landscape" r:id="rId18"/>
      <headerFooter>
        <oddHeader>&amp;C&amp;"-,Fet"&amp;14 3. studieår</oddHeader>
      </headerFooter>
    </customSheetView>
    <customSheetView guid="{749D43A3-052D-442F-AE88-F6CCB83A1282}" scale="90" fitToPage="1" hiddenColumns="1" topLeftCell="A4">
      <pane xSplit="1" topLeftCell="R1" activePane="topRight" state="frozen"/>
      <selection pane="topRight" activeCell="O14" sqref="O14"/>
      <pageMargins left="7.874015748031496E-2" right="7.874015748031496E-2" top="0.78740157480314965" bottom="0.78740157480314965" header="0.31496062992125984" footer="0.31496062992125984"/>
      <pageSetup paperSize="9" scale="28" orientation="landscape" r:id="rId19"/>
      <headerFooter>
        <oddHeader>&amp;C&amp;"-,Fet"&amp;14 3. studieår</oddHeader>
      </headerFooter>
    </customSheetView>
    <customSheetView guid="{AC2983A2-F978-40B7-A196-35F34E705157}" fitToPage="1" hiddenColumns="1">
      <pane xSplit="1" topLeftCell="D1" activePane="topRight" state="frozen"/>
      <selection pane="topRight" activeCell="I23" sqref="I23"/>
      <pageMargins left="7.874015748031496E-2" right="7.874015748031496E-2" top="0.78740157480314965" bottom="0.78740157480314965" header="0.31496062992125984" footer="0.31496062992125984"/>
      <pageSetup paperSize="9" scale="28" orientation="landscape" r:id="rId20"/>
      <headerFooter>
        <oddHeader>&amp;C&amp;"-,Fet"&amp;14 3. studieår</oddHeader>
      </headerFooter>
    </customSheetView>
    <customSheetView guid="{2A2C752C-8C42-4F9A-A40C-FE7F7014F210}" scale="84" fitToPage="1" hiddenColumns="1">
      <pane xSplit="1" topLeftCell="B1" activePane="topRight" state="frozen"/>
      <selection pane="topRight" activeCell="H18" sqref="H18"/>
      <pageMargins left="7.874015748031496E-2" right="7.874015748031496E-2" top="0.78740157480314965" bottom="0.78740157480314965" header="0.31496062992125984" footer="0.31496062992125984"/>
      <pageSetup paperSize="9" scale="28" orientation="landscape" r:id="rId21"/>
      <headerFooter>
        <oddHeader>&amp;C&amp;"-,Fet"&amp;14 3. studieår</oddHeader>
      </headerFooter>
    </customSheetView>
    <customSheetView guid="{0E885D9C-CD7C-4655-8709-41793617E0A7}" scale="84" fitToPage="1" hiddenColumns="1" topLeftCell="A4">
      <pane xSplit="1" topLeftCell="C1" activePane="topRight" state="frozen"/>
      <selection pane="topRight" activeCell="J16" sqref="J16"/>
      <pageMargins left="7.874015748031496E-2" right="7.874015748031496E-2" top="0.78740157480314965" bottom="0.78740157480314965" header="0.31496062992125984" footer="0.31496062992125984"/>
      <pageSetup paperSize="9" scale="28" orientation="landscape" r:id="rId22"/>
      <headerFooter>
        <oddHeader>&amp;C&amp;"-,Fet"&amp;14 3. studieår</oddHeader>
      </headerFooter>
    </customSheetView>
    <customSheetView guid="{CB7E9FB3-C7A3-44DE-98E4-19C23B487785}" scale="84" fitToPage="1" hiddenColumns="1">
      <pane xSplit="1" topLeftCell="B1" activePane="topRight" state="frozen"/>
      <selection pane="topRight" activeCell="D1" sqref="D1"/>
      <pageMargins left="7.874015748031496E-2" right="7.874015748031496E-2" top="0.78740157480314965" bottom="0.78740157480314965" header="0.31496062992125984" footer="0.31496062992125984"/>
      <pageSetup paperSize="9" scale="28" orientation="landscape" r:id="rId23"/>
      <headerFooter>
        <oddHeader>&amp;C&amp;"-,Fet"&amp;14 3. studieår</oddHeader>
      </headerFooter>
    </customSheetView>
  </customSheetViews>
  <pageMargins left="7.874015748031496E-2" right="7.874015748031496E-2" top="0.78740157480314965" bottom="0.78740157480314965" header="0.31496062992125984" footer="0.31496062992125984"/>
  <pageSetup paperSize="9" scale="28" orientation="landscape" r:id="rId24"/>
  <headerFooter>
    <oddHeader>&amp;C&amp;"-,Fet"&amp;14 3. studieår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N40"/>
  <sheetViews>
    <sheetView zoomScaleNormal="100" workbookViewId="0">
      <pane xSplit="1" topLeftCell="B1" activePane="topRight" state="frozen"/>
      <selection activeCell="A7" sqref="A7"/>
      <selection pane="topRight" activeCell="R18" sqref="R18"/>
    </sheetView>
  </sheetViews>
  <sheetFormatPr defaultColWidth="11.42578125" defaultRowHeight="15" x14ac:dyDescent="0.25"/>
  <cols>
    <col min="1" max="1" width="34.85546875" customWidth="1"/>
    <col min="2" max="2" width="13.85546875" customWidth="1"/>
    <col min="3" max="3" width="14.5703125" bestFit="1" customWidth="1"/>
    <col min="4" max="4" width="13.5703125" customWidth="1"/>
    <col min="5" max="5" width="10.42578125" customWidth="1"/>
    <col min="6" max="6" width="11.42578125" customWidth="1"/>
    <col min="7" max="7" width="8.42578125" customWidth="1"/>
    <col min="8" max="8" width="9.5703125" customWidth="1"/>
    <col min="9" max="10" width="11.140625" customWidth="1"/>
    <col min="11" max="11" width="8.42578125" hidden="1" customWidth="1"/>
    <col min="12" max="12" width="11.85546875" hidden="1" customWidth="1"/>
    <col min="13" max="13" width="11.42578125" hidden="1" customWidth="1"/>
    <col min="14" max="14" width="9.140625" customWidth="1"/>
    <col min="15" max="15" width="12.140625" customWidth="1"/>
    <col min="16" max="16" width="9.140625" style="7" customWidth="1"/>
    <col min="17" max="24" width="14.5703125" style="5" customWidth="1"/>
    <col min="25" max="31" width="13.140625" customWidth="1"/>
    <col min="32" max="32" width="14.42578125" customWidth="1"/>
    <col min="33" max="33" width="17.42578125" customWidth="1"/>
    <col min="34" max="34" width="11.140625" bestFit="1" customWidth="1"/>
    <col min="35" max="40" width="9.140625" customWidth="1"/>
    <col min="41" max="41" width="18" customWidth="1"/>
    <col min="42" max="42" width="24.5703125" customWidth="1"/>
    <col min="43" max="43" width="9.42578125" customWidth="1"/>
    <col min="44" max="44" width="15.5703125" customWidth="1"/>
    <col min="45" max="45" width="14.42578125" customWidth="1"/>
    <col min="46" max="264" width="9.140625" customWidth="1"/>
  </cols>
  <sheetData>
    <row r="1" spans="1:40" ht="15" customHeight="1" x14ac:dyDescent="0.25">
      <c r="A1" s="199" t="s">
        <v>5</v>
      </c>
      <c r="B1" s="200"/>
      <c r="C1" s="200"/>
      <c r="D1" s="326">
        <v>275</v>
      </c>
      <c r="E1" s="204"/>
      <c r="F1" s="197" t="s">
        <v>9</v>
      </c>
      <c r="G1" s="293">
        <v>2100</v>
      </c>
      <c r="H1" s="259"/>
      <c r="P1" s="209">
        <v>20</v>
      </c>
    </row>
    <row r="2" spans="1:40" ht="15" customHeight="1" x14ac:dyDescent="0.25">
      <c r="A2" s="199" t="s">
        <v>374</v>
      </c>
      <c r="B2" s="200"/>
      <c r="C2" s="200"/>
      <c r="D2" s="326">
        <v>100</v>
      </c>
      <c r="E2" s="204"/>
      <c r="F2" s="208"/>
      <c r="G2" s="331"/>
      <c r="H2" s="259"/>
      <c r="P2" s="209"/>
    </row>
    <row r="3" spans="1:40" ht="15.75" customHeight="1" x14ac:dyDescent="0.25">
      <c r="A3" s="199" t="s">
        <v>6</v>
      </c>
      <c r="B3" s="200"/>
      <c r="C3" s="200"/>
      <c r="D3" s="325">
        <v>2800</v>
      </c>
      <c r="E3" s="204"/>
      <c r="F3" s="208" t="s">
        <v>10</v>
      </c>
      <c r="G3" s="294">
        <v>340</v>
      </c>
      <c r="H3" s="260"/>
      <c r="AH3" s="352" t="s">
        <v>91</v>
      </c>
      <c r="AI3" s="353"/>
      <c r="AJ3" s="353"/>
      <c r="AK3" s="353"/>
      <c r="AL3" s="353"/>
      <c r="AM3" s="353"/>
      <c r="AN3" s="353"/>
    </row>
    <row r="4" spans="1:40" ht="18.75" x14ac:dyDescent="0.3">
      <c r="A4" s="206" t="s">
        <v>101</v>
      </c>
      <c r="B4" s="207">
        <v>20</v>
      </c>
      <c r="C4" s="7"/>
      <c r="D4" s="7"/>
      <c r="E4" s="204"/>
      <c r="F4" s="205"/>
      <c r="AH4" s="101" t="s">
        <v>116</v>
      </c>
      <c r="AI4" s="98" t="s">
        <v>110</v>
      </c>
      <c r="AJ4" s="98"/>
      <c r="AK4" s="98" t="s">
        <v>111</v>
      </c>
      <c r="AL4" s="98"/>
      <c r="AM4" s="98" t="s">
        <v>113</v>
      </c>
      <c r="AN4" s="98" t="s">
        <v>112</v>
      </c>
    </row>
    <row r="5" spans="1:40" ht="12.75" customHeight="1" x14ac:dyDescent="0.25">
      <c r="D5" s="361" t="s">
        <v>103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3"/>
      <c r="R5" s="329"/>
      <c r="S5" s="329"/>
      <c r="T5" s="329"/>
      <c r="U5" s="329"/>
      <c r="V5" s="330"/>
      <c r="W5" s="330"/>
      <c r="X5" s="330"/>
      <c r="AH5" s="107">
        <v>0.1</v>
      </c>
      <c r="AI5" s="99"/>
      <c r="AJ5" s="99"/>
      <c r="AK5" s="99"/>
      <c r="AL5" s="99"/>
      <c r="AM5" s="99">
        <v>1</v>
      </c>
      <c r="AN5" s="99"/>
    </row>
    <row r="6" spans="1:40" ht="12.75" customHeight="1" thickBot="1" x14ac:dyDescent="0.3">
      <c r="D6" s="104"/>
      <c r="E6" s="105"/>
      <c r="F6" s="105"/>
      <c r="G6" s="105"/>
      <c r="H6" s="256"/>
      <c r="I6" s="105"/>
      <c r="J6" s="256"/>
      <c r="K6" s="105"/>
      <c r="L6" s="105"/>
      <c r="M6" s="105"/>
      <c r="N6" s="105"/>
      <c r="O6" s="105"/>
      <c r="P6" s="105"/>
      <c r="Q6" s="105"/>
      <c r="R6" s="329"/>
      <c r="S6" s="329"/>
      <c r="T6" s="329"/>
      <c r="U6" s="329"/>
      <c r="V6" s="330"/>
      <c r="W6" s="330"/>
      <c r="X6" s="330"/>
      <c r="AH6" s="364" t="s">
        <v>114</v>
      </c>
      <c r="AI6" s="365"/>
      <c r="AJ6" s="365"/>
      <c r="AK6" s="365"/>
      <c r="AL6" s="365"/>
      <c r="AM6" s="365"/>
      <c r="AN6" s="365"/>
    </row>
    <row r="7" spans="1:40" s="30" customFormat="1" ht="76.5" customHeight="1" x14ac:dyDescent="0.25">
      <c r="A7" s="71" t="s">
        <v>1</v>
      </c>
      <c r="B7" s="72" t="s">
        <v>245</v>
      </c>
      <c r="C7" s="81" t="s">
        <v>102</v>
      </c>
      <c r="D7" s="73" t="s">
        <v>2</v>
      </c>
      <c r="E7" s="73" t="s">
        <v>342</v>
      </c>
      <c r="F7" s="73" t="s">
        <v>3</v>
      </c>
      <c r="G7" s="73" t="s">
        <v>117</v>
      </c>
      <c r="H7" s="73" t="s">
        <v>300</v>
      </c>
      <c r="I7" s="73" t="s">
        <v>298</v>
      </c>
      <c r="J7" s="73" t="s">
        <v>299</v>
      </c>
      <c r="K7" s="73" t="s">
        <v>118</v>
      </c>
      <c r="L7" s="73" t="s">
        <v>119</v>
      </c>
      <c r="M7" s="74" t="s">
        <v>220</v>
      </c>
      <c r="N7" s="73" t="s">
        <v>120</v>
      </c>
      <c r="O7" s="73" t="s">
        <v>121</v>
      </c>
      <c r="P7" s="73" t="s">
        <v>109</v>
      </c>
      <c r="Q7" s="73" t="s">
        <v>341</v>
      </c>
      <c r="R7" s="73" t="s">
        <v>362</v>
      </c>
      <c r="S7" s="73" t="s">
        <v>363</v>
      </c>
      <c r="T7" s="73" t="s">
        <v>364</v>
      </c>
      <c r="U7" s="73" t="s">
        <v>365</v>
      </c>
      <c r="V7" s="73" t="s">
        <v>372</v>
      </c>
      <c r="W7" s="73" t="s">
        <v>373</v>
      </c>
      <c r="X7" s="73" t="s">
        <v>375</v>
      </c>
      <c r="Y7" s="73" t="s">
        <v>232</v>
      </c>
      <c r="Z7" s="73" t="s">
        <v>233</v>
      </c>
      <c r="AA7" s="73" t="s">
        <v>128</v>
      </c>
      <c r="AB7" s="73" t="s">
        <v>194</v>
      </c>
      <c r="AC7" s="128" t="s">
        <v>195</v>
      </c>
      <c r="AD7" s="127" t="s">
        <v>123</v>
      </c>
      <c r="AE7" s="127" t="s">
        <v>221</v>
      </c>
      <c r="AF7" s="127" t="s">
        <v>222</v>
      </c>
      <c r="AG7" s="133"/>
      <c r="AH7" s="109">
        <v>620241</v>
      </c>
      <c r="AI7" s="351">
        <v>620242</v>
      </c>
      <c r="AJ7" s="351"/>
      <c r="AK7" s="366">
        <v>620243</v>
      </c>
      <c r="AL7" s="367"/>
      <c r="AM7" s="121">
        <v>620244</v>
      </c>
      <c r="AN7" s="109">
        <v>620245</v>
      </c>
    </row>
    <row r="8" spans="1:40" s="30" customFormat="1" ht="57.75" customHeight="1" x14ac:dyDescent="0.25">
      <c r="A8" s="11" t="s">
        <v>44</v>
      </c>
      <c r="B8" s="59"/>
      <c r="C8" s="59"/>
      <c r="D8" s="8"/>
      <c r="E8" s="8"/>
      <c r="F8" s="8"/>
      <c r="G8" s="8"/>
      <c r="H8" s="8"/>
      <c r="I8" s="8"/>
      <c r="J8" s="8"/>
      <c r="K8" s="8"/>
      <c r="L8" s="8"/>
      <c r="M8" s="3"/>
      <c r="N8" s="3"/>
      <c r="O8" s="3"/>
      <c r="P8" s="4"/>
      <c r="Q8" s="23"/>
      <c r="R8" s="285"/>
      <c r="S8" s="285"/>
      <c r="T8" s="23"/>
      <c r="U8" s="23"/>
      <c r="V8" s="285"/>
      <c r="W8" s="285"/>
      <c r="X8" s="23"/>
      <c r="Y8" s="120"/>
      <c r="Z8" s="120"/>
      <c r="AA8" s="1"/>
      <c r="AB8" s="120"/>
      <c r="AC8" s="120"/>
      <c r="AD8" s="1"/>
      <c r="AE8" s="1"/>
      <c r="AF8" s="1"/>
      <c r="AG8" s="111"/>
      <c r="AH8" s="126" t="s">
        <v>304</v>
      </c>
      <c r="AI8" s="122" t="s">
        <v>133</v>
      </c>
      <c r="AJ8" s="126" t="s">
        <v>125</v>
      </c>
      <c r="AK8" s="122" t="s">
        <v>133</v>
      </c>
      <c r="AL8" s="126" t="s">
        <v>134</v>
      </c>
      <c r="AM8" s="122" t="s">
        <v>133</v>
      </c>
      <c r="AN8" s="122" t="s">
        <v>133</v>
      </c>
    </row>
    <row r="9" spans="1:40" x14ac:dyDescent="0.25">
      <c r="A9" s="11" t="s">
        <v>99</v>
      </c>
      <c r="B9" s="59">
        <v>30</v>
      </c>
      <c r="C9" s="59">
        <f>B9*$P$1*2</f>
        <v>1200</v>
      </c>
      <c r="D9" s="276"/>
      <c r="E9" s="276"/>
      <c r="F9" s="276"/>
      <c r="G9" s="276"/>
      <c r="H9" s="276"/>
      <c r="I9" s="276"/>
      <c r="J9" s="276"/>
      <c r="K9" s="276"/>
      <c r="L9" s="276"/>
      <c r="M9" s="3"/>
      <c r="N9" s="3"/>
      <c r="O9" s="3"/>
      <c r="P9" s="4">
        <f>SUM(P11:P16)</f>
        <v>788</v>
      </c>
      <c r="Q9" s="23"/>
      <c r="R9" s="285"/>
      <c r="S9" s="285"/>
      <c r="T9" s="23"/>
      <c r="U9" s="23"/>
      <c r="V9" s="285">
        <v>2</v>
      </c>
      <c r="W9" s="285">
        <v>2</v>
      </c>
      <c r="X9" s="3">
        <f>(V9+W9)*$G$3*1.5*D2</f>
        <v>204000</v>
      </c>
      <c r="Y9" s="285"/>
      <c r="Z9" s="285"/>
      <c r="AA9" s="3"/>
      <c r="AB9" s="285"/>
      <c r="AC9" s="285"/>
      <c r="AD9" s="3"/>
      <c r="AE9" s="3">
        <f>X9/$G$1</f>
        <v>97.142857142857139</v>
      </c>
      <c r="AF9" s="3"/>
      <c r="AG9" s="100"/>
      <c r="AH9" s="126"/>
      <c r="AI9" s="1"/>
      <c r="AJ9" s="87"/>
      <c r="AK9" s="1"/>
      <c r="AL9" s="58"/>
      <c r="AM9" s="258"/>
      <c r="AN9" s="1"/>
    </row>
    <row r="10" spans="1:40" x14ac:dyDescent="0.25">
      <c r="A10" s="11" t="s">
        <v>285</v>
      </c>
      <c r="B10" s="59"/>
      <c r="C10" s="59"/>
      <c r="D10" s="275">
        <v>2</v>
      </c>
      <c r="E10" s="275"/>
      <c r="F10" s="275"/>
      <c r="G10" s="275"/>
      <c r="H10" s="275"/>
      <c r="I10" s="275"/>
      <c r="J10" s="275"/>
      <c r="K10" s="275"/>
      <c r="L10" s="276"/>
      <c r="M10" s="3"/>
      <c r="N10" s="3"/>
      <c r="O10" s="3"/>
      <c r="P10" s="4"/>
      <c r="Q10" s="23"/>
      <c r="R10" s="285"/>
      <c r="S10" s="285"/>
      <c r="T10" s="23"/>
      <c r="U10" s="23"/>
      <c r="V10" s="285"/>
      <c r="W10" s="285"/>
      <c r="X10" s="23"/>
      <c r="Y10" s="285"/>
      <c r="Z10" s="285"/>
      <c r="AA10" s="3"/>
      <c r="AB10" s="285"/>
      <c r="AC10" s="285"/>
      <c r="AD10" s="3"/>
      <c r="AE10" s="3"/>
      <c r="AF10" s="3"/>
      <c r="AG10" s="106"/>
      <c r="AH10" s="295"/>
      <c r="AI10" s="1"/>
      <c r="AJ10" s="258"/>
      <c r="AK10" s="1"/>
      <c r="AL10" s="285"/>
      <c r="AM10" s="87"/>
      <c r="AN10" s="1"/>
    </row>
    <row r="11" spans="1:40" x14ac:dyDescent="0.25">
      <c r="A11" s="10" t="s">
        <v>32</v>
      </c>
      <c r="B11" s="17">
        <v>10</v>
      </c>
      <c r="C11" s="59">
        <f>B11*$P$1*2</f>
        <v>400</v>
      </c>
      <c r="D11" s="275">
        <v>20</v>
      </c>
      <c r="E11" s="275">
        <v>16</v>
      </c>
      <c r="F11" s="275">
        <v>40</v>
      </c>
      <c r="G11" s="275">
        <v>7</v>
      </c>
      <c r="H11" s="275">
        <v>2</v>
      </c>
      <c r="I11" s="275">
        <v>7</v>
      </c>
      <c r="J11" s="275">
        <v>2</v>
      </c>
      <c r="K11" s="275"/>
      <c r="L11" s="276" t="e">
        <f>+IF(#REF!&gt;0,$D$1/#REF!,0)</f>
        <v>#REF!</v>
      </c>
      <c r="M11" s="3"/>
      <c r="N11" s="3">
        <f>D11+(E11*G11)</f>
        <v>132</v>
      </c>
      <c r="O11" s="3">
        <f>D11+(E11*I11)</f>
        <v>132</v>
      </c>
      <c r="P11" s="4">
        <f>N11+O11</f>
        <v>264</v>
      </c>
      <c r="Q11" s="23">
        <f>P11*$G$1</f>
        <v>554400</v>
      </c>
      <c r="R11" s="285">
        <v>1</v>
      </c>
      <c r="S11" s="285">
        <v>1</v>
      </c>
      <c r="T11" s="3">
        <f>(R11+S11)*$G$3*$D$1*0.25</f>
        <v>46750</v>
      </c>
      <c r="U11" s="3">
        <f>T11*0.4</f>
        <v>18700</v>
      </c>
      <c r="V11" s="285"/>
      <c r="W11" s="285"/>
      <c r="X11" s="3"/>
      <c r="Y11" s="285">
        <v>0</v>
      </c>
      <c r="Z11" s="285">
        <v>0</v>
      </c>
      <c r="AA11" s="3">
        <f>(Y11+Z11)*$G$3*$D$1*0.25</f>
        <v>0</v>
      </c>
      <c r="AB11" s="285"/>
      <c r="AC11" s="285"/>
      <c r="AD11" s="3">
        <f t="shared" ref="AD11:AD16" si="0">(AB11+AC11)*$G$3*$D$1*0.25</f>
        <v>0</v>
      </c>
      <c r="AE11" s="3">
        <f t="shared" ref="AE11:AE28" si="1">P11+AA11/$G$1+AD11/$G$1+T11/$G$1</f>
        <v>286.26190476190476</v>
      </c>
      <c r="AF11" s="3"/>
      <c r="AG11" s="106"/>
      <c r="AH11" s="295"/>
      <c r="AI11" s="1">
        <f>IF(AJ11&gt;0,(P11-D11*2)*(H11+J11)/(G11+I11),0)</f>
        <v>64</v>
      </c>
      <c r="AJ11" s="258">
        <f>J11+H11</f>
        <v>4</v>
      </c>
      <c r="AK11" s="1"/>
      <c r="AL11" s="285"/>
      <c r="AM11" s="258">
        <f>SUM(K11,H11)</f>
        <v>2</v>
      </c>
      <c r="AN11" s="1"/>
    </row>
    <row r="12" spans="1:40" x14ac:dyDescent="0.25">
      <c r="A12" s="10" t="s">
        <v>33</v>
      </c>
      <c r="B12" s="17">
        <v>10</v>
      </c>
      <c r="C12" s="59">
        <f>B12*$P$1*2</f>
        <v>400</v>
      </c>
      <c r="D12" s="275">
        <v>18</v>
      </c>
      <c r="E12" s="275">
        <v>16</v>
      </c>
      <c r="F12" s="275">
        <v>40</v>
      </c>
      <c r="G12" s="275">
        <v>7</v>
      </c>
      <c r="H12" s="275">
        <v>1</v>
      </c>
      <c r="I12" s="275">
        <v>7</v>
      </c>
      <c r="J12" s="275">
        <v>1</v>
      </c>
      <c r="K12" s="275"/>
      <c r="L12" s="276" t="e">
        <f>+IF(#REF!&gt;0,$D$1/#REF!,0)</f>
        <v>#REF!</v>
      </c>
      <c r="M12" s="3"/>
      <c r="N12" s="3">
        <f>D12+(E12*G12)</f>
        <v>130</v>
      </c>
      <c r="O12" s="3">
        <f>D12+(E12*I12)</f>
        <v>130</v>
      </c>
      <c r="P12" s="4">
        <f>N12+O12</f>
        <v>260</v>
      </c>
      <c r="Q12" s="23">
        <f>P12*$G$1</f>
        <v>546000</v>
      </c>
      <c r="R12" s="285">
        <v>1</v>
      </c>
      <c r="S12" s="285">
        <v>1</v>
      </c>
      <c r="T12" s="3">
        <f>(R12+S12)*$G$3*$D$1*0.25</f>
        <v>46750</v>
      </c>
      <c r="U12" s="3">
        <f>T12*0.4</f>
        <v>18700</v>
      </c>
      <c r="V12" s="285"/>
      <c r="W12" s="285"/>
      <c r="X12" s="3"/>
      <c r="Y12" s="285">
        <v>0</v>
      </c>
      <c r="Z12" s="285">
        <v>0</v>
      </c>
      <c r="AA12" s="3">
        <f>(Y12+Z12)*$G$3*$D$1*0.25</f>
        <v>0</v>
      </c>
      <c r="AB12" s="285"/>
      <c r="AC12" s="285"/>
      <c r="AD12" s="3">
        <f t="shared" si="0"/>
        <v>0</v>
      </c>
      <c r="AE12" s="3">
        <f t="shared" si="1"/>
        <v>282.26190476190476</v>
      </c>
      <c r="AF12" s="3"/>
      <c r="AG12" s="106"/>
      <c r="AH12" s="295">
        <v>0</v>
      </c>
      <c r="AI12" s="1">
        <f>IF(AJ12&gt;0,(P12-D12*2)*(H12+J12)/(G12+I12),0)</f>
        <v>32</v>
      </c>
      <c r="AJ12" s="258">
        <f>J12+H12</f>
        <v>2</v>
      </c>
      <c r="AK12" s="1"/>
      <c r="AL12" s="58"/>
      <c r="AM12" s="258">
        <f>SUM(K12,H12)</f>
        <v>1</v>
      </c>
      <c r="AN12" s="1"/>
    </row>
    <row r="13" spans="1:40" x14ac:dyDescent="0.25">
      <c r="A13" s="10" t="s">
        <v>34</v>
      </c>
      <c r="B13" s="17">
        <v>10</v>
      </c>
      <c r="C13" s="59">
        <f>B13*$P$1*2</f>
        <v>400</v>
      </c>
      <c r="D13" s="275">
        <v>18</v>
      </c>
      <c r="E13" s="275">
        <v>16</v>
      </c>
      <c r="F13" s="275">
        <v>40</v>
      </c>
      <c r="G13" s="275">
        <v>7</v>
      </c>
      <c r="H13" s="275">
        <v>5</v>
      </c>
      <c r="I13" s="275">
        <v>7</v>
      </c>
      <c r="J13" s="275">
        <v>5</v>
      </c>
      <c r="K13" s="275"/>
      <c r="L13" s="276" t="e">
        <f>+IF(#REF!&gt;0,$D$1/#REF!,0)</f>
        <v>#REF!</v>
      </c>
      <c r="M13" s="3"/>
      <c r="N13" s="3">
        <f>D13+(E13*G13)</f>
        <v>130</v>
      </c>
      <c r="O13" s="3">
        <f>D13+(E13*I13)</f>
        <v>130</v>
      </c>
      <c r="P13" s="4">
        <f>N13+O13</f>
        <v>260</v>
      </c>
      <c r="Q13" s="23">
        <f>P13*$G$1</f>
        <v>546000</v>
      </c>
      <c r="R13" s="285"/>
      <c r="S13" s="285"/>
      <c r="T13" s="3">
        <f>(R13+S13)*$G$3*$D$1*0.25</f>
        <v>0</v>
      </c>
      <c r="U13" s="3">
        <f t="shared" ref="U13:U15" si="2">T13*0.4</f>
        <v>0</v>
      </c>
      <c r="V13" s="285"/>
      <c r="W13" s="285"/>
      <c r="X13" s="3"/>
      <c r="Y13" s="285">
        <v>1</v>
      </c>
      <c r="Z13" s="285">
        <v>1</v>
      </c>
      <c r="AA13" s="3">
        <f>(Y13+Z13)*$G$3*$D$1*0.25</f>
        <v>46750</v>
      </c>
      <c r="AB13" s="285"/>
      <c r="AC13" s="285"/>
      <c r="AD13" s="3">
        <f t="shared" si="0"/>
        <v>0</v>
      </c>
      <c r="AE13" s="3">
        <f t="shared" si="1"/>
        <v>282.26190476190476</v>
      </c>
      <c r="AF13" s="3"/>
      <c r="AG13" s="106"/>
      <c r="AH13" s="295">
        <v>0</v>
      </c>
      <c r="AI13" s="1">
        <f>IF(AJ13&gt;0,(P13-D13*2)*(H13+J13)/(G13+I13),0)</f>
        <v>160</v>
      </c>
      <c r="AJ13" s="258">
        <f>J13+H13</f>
        <v>10</v>
      </c>
      <c r="AK13" s="1"/>
      <c r="AL13" s="58"/>
      <c r="AM13" s="258">
        <f>SUM(K13,H13)</f>
        <v>5</v>
      </c>
      <c r="AN13" s="1"/>
    </row>
    <row r="14" spans="1:40" x14ac:dyDescent="0.25">
      <c r="A14" s="10" t="s">
        <v>58</v>
      </c>
      <c r="B14" s="17"/>
      <c r="C14" s="17"/>
      <c r="D14" s="275">
        <v>0</v>
      </c>
      <c r="E14" s="275"/>
      <c r="F14" s="275"/>
      <c r="G14" s="275">
        <v>0</v>
      </c>
      <c r="H14" s="275"/>
      <c r="I14" s="275"/>
      <c r="J14" s="275"/>
      <c r="K14" s="275"/>
      <c r="L14" s="276" t="e">
        <f>+IF(#REF!&gt;0,$D$1/#REF!,0)</f>
        <v>#REF!</v>
      </c>
      <c r="M14" s="3"/>
      <c r="N14" s="3">
        <f>D14+(E14*G14)</f>
        <v>0</v>
      </c>
      <c r="O14" s="3">
        <f>D14+(E14*I14)</f>
        <v>0</v>
      </c>
      <c r="P14" s="4">
        <f>N14+O14</f>
        <v>0</v>
      </c>
      <c r="Q14" s="23">
        <f>P14*$G$1</f>
        <v>0</v>
      </c>
      <c r="R14" s="285"/>
      <c r="S14" s="285"/>
      <c r="T14" s="3">
        <f>(R14+S14)*$G$3*$D$1*0.25</f>
        <v>0</v>
      </c>
      <c r="U14" s="3">
        <f t="shared" si="2"/>
        <v>0</v>
      </c>
      <c r="V14" s="285"/>
      <c r="W14" s="285"/>
      <c r="X14" s="3"/>
      <c r="Y14" s="285"/>
      <c r="Z14" s="285"/>
      <c r="AA14" s="3">
        <f>(Y14+Z14)*$G$3*$D$1*0.25</f>
        <v>0</v>
      </c>
      <c r="AB14" s="285"/>
      <c r="AC14" s="285"/>
      <c r="AD14" s="3">
        <f t="shared" si="0"/>
        <v>0</v>
      </c>
      <c r="AE14" s="3">
        <f t="shared" si="1"/>
        <v>0</v>
      </c>
      <c r="AF14" s="3"/>
      <c r="AG14" s="106"/>
      <c r="AH14" s="295">
        <v>0</v>
      </c>
      <c r="AI14" s="1">
        <f>IF(AJ14&gt;0,(P14-D14*2)*(H14+J14)/(G14+I14),0)</f>
        <v>0</v>
      </c>
      <c r="AJ14" s="258">
        <f>J14+H14</f>
        <v>0</v>
      </c>
      <c r="AK14" s="1"/>
      <c r="AL14" s="58"/>
      <c r="AM14" s="258">
        <f>SUM(K14,H14)</f>
        <v>0</v>
      </c>
      <c r="AN14" s="1"/>
    </row>
    <row r="15" spans="1:40" x14ac:dyDescent="0.25">
      <c r="A15" s="10" t="s">
        <v>37</v>
      </c>
      <c r="B15" s="17"/>
      <c r="C15" s="17"/>
      <c r="D15" s="275">
        <v>2</v>
      </c>
      <c r="E15" s="275"/>
      <c r="F15" s="275"/>
      <c r="G15" s="275">
        <v>0</v>
      </c>
      <c r="H15" s="275"/>
      <c r="I15" s="275"/>
      <c r="J15" s="275"/>
      <c r="K15" s="275"/>
      <c r="L15" s="276" t="e">
        <f>+IF(#REF!&gt;0,$D$1/#REF!,0)</f>
        <v>#REF!</v>
      </c>
      <c r="M15" s="3"/>
      <c r="N15" s="3">
        <f>D15+(E15*G15)</f>
        <v>2</v>
      </c>
      <c r="O15" s="3">
        <f>D15+(E15*I15)</f>
        <v>2</v>
      </c>
      <c r="P15" s="4">
        <f>N15+O15</f>
        <v>4</v>
      </c>
      <c r="Q15" s="23">
        <f>P15*$G$1</f>
        <v>8400</v>
      </c>
      <c r="R15" s="285"/>
      <c r="S15" s="285"/>
      <c r="T15" s="3">
        <f>(R15+S15)*$G$3*$D$1*0.25</f>
        <v>0</v>
      </c>
      <c r="U15" s="3">
        <f t="shared" si="2"/>
        <v>0</v>
      </c>
      <c r="V15" s="285"/>
      <c r="W15" s="285"/>
      <c r="X15" s="3"/>
      <c r="Y15" s="285"/>
      <c r="Z15" s="285"/>
      <c r="AA15" s="3">
        <f>(Y15+Z15)*$G$3*$D$1*0.25</f>
        <v>0</v>
      </c>
      <c r="AB15" s="285"/>
      <c r="AC15" s="285"/>
      <c r="AD15" s="3">
        <f t="shared" si="0"/>
        <v>0</v>
      </c>
      <c r="AE15" s="3">
        <f t="shared" si="1"/>
        <v>4</v>
      </c>
      <c r="AF15" s="3"/>
      <c r="AG15" s="106"/>
      <c r="AH15" s="295">
        <v>26</v>
      </c>
      <c r="AI15" s="1">
        <f>IF(AJ15&gt;0,(P15-D15*2)*(H15+J15)/(G15+I15),0)</f>
        <v>0</v>
      </c>
      <c r="AJ15" s="258">
        <f>J15+H15</f>
        <v>0</v>
      </c>
      <c r="AK15" s="1"/>
      <c r="AL15" s="58"/>
      <c r="AM15" s="258">
        <f>SUM(K15,H15)</f>
        <v>0</v>
      </c>
      <c r="AN15" s="1"/>
    </row>
    <row r="16" spans="1:40" x14ac:dyDescent="0.25">
      <c r="A16" s="10"/>
      <c r="B16" s="17"/>
      <c r="C16" s="17"/>
      <c r="D16" s="275"/>
      <c r="E16" s="275"/>
      <c r="F16" s="275"/>
      <c r="G16" s="275"/>
      <c r="H16" s="275"/>
      <c r="I16" s="275"/>
      <c r="J16" s="275"/>
      <c r="K16" s="275"/>
      <c r="L16" s="276"/>
      <c r="M16" s="3"/>
      <c r="N16" s="3"/>
      <c r="O16" s="3"/>
      <c r="P16" s="4"/>
      <c r="Q16" s="23"/>
      <c r="R16" s="285"/>
      <c r="S16" s="285"/>
      <c r="T16" s="3"/>
      <c r="U16" s="3"/>
      <c r="V16" s="285"/>
      <c r="W16" s="285"/>
      <c r="X16" s="3"/>
      <c r="Y16" s="285"/>
      <c r="Z16" s="285"/>
      <c r="AA16" s="3"/>
      <c r="AB16" s="285"/>
      <c r="AC16" s="285"/>
      <c r="AD16" s="3">
        <f t="shared" si="0"/>
        <v>0</v>
      </c>
      <c r="AE16" s="3">
        <f t="shared" si="1"/>
        <v>0</v>
      </c>
      <c r="AF16" s="3"/>
      <c r="AG16" s="106"/>
      <c r="AH16" s="295">
        <v>4</v>
      </c>
      <c r="AI16" s="1"/>
      <c r="AJ16" s="258"/>
      <c r="AK16" s="1"/>
      <c r="AL16" s="58"/>
      <c r="AM16" s="258"/>
      <c r="AN16" s="1"/>
    </row>
    <row r="17" spans="1:40" x14ac:dyDescent="0.25">
      <c r="A17" s="11" t="s">
        <v>43</v>
      </c>
      <c r="B17" s="59"/>
      <c r="C17" s="59"/>
      <c r="D17" s="275"/>
      <c r="E17" s="275"/>
      <c r="F17" s="275"/>
      <c r="G17" s="275"/>
      <c r="H17" s="275"/>
      <c r="I17" s="275"/>
      <c r="J17" s="275"/>
      <c r="K17" s="275"/>
      <c r="L17" s="276"/>
      <c r="M17" s="3"/>
      <c r="N17" s="3"/>
      <c r="O17" s="3"/>
      <c r="P17" s="4"/>
      <c r="Q17" s="23"/>
      <c r="R17" s="285"/>
      <c r="S17" s="285"/>
      <c r="T17" s="23"/>
      <c r="U17" s="23"/>
      <c r="V17" s="285"/>
      <c r="W17" s="285"/>
      <c r="X17" s="23"/>
      <c r="Y17" s="285"/>
      <c r="Z17" s="285"/>
      <c r="AA17" s="3"/>
      <c r="AB17" s="285"/>
      <c r="AC17" s="285"/>
      <c r="AD17" s="3"/>
      <c r="AE17" s="3">
        <f t="shared" si="1"/>
        <v>0</v>
      </c>
      <c r="AF17" s="3"/>
      <c r="AG17" s="106"/>
      <c r="AH17" s="295"/>
      <c r="AI17" s="1"/>
      <c r="AJ17" s="258"/>
      <c r="AK17" s="1"/>
      <c r="AL17" s="58"/>
      <c r="AM17" s="258">
        <f>SUM(K16,H16)</f>
        <v>0</v>
      </c>
      <c r="AN17" s="1"/>
    </row>
    <row r="18" spans="1:40" x14ac:dyDescent="0.25">
      <c r="A18" s="11" t="s">
        <v>100</v>
      </c>
      <c r="B18" s="59">
        <v>10</v>
      </c>
      <c r="C18" s="59">
        <f>B18*$P$1*2</f>
        <v>400</v>
      </c>
      <c r="D18" s="275"/>
      <c r="E18" s="275"/>
      <c r="F18" s="275"/>
      <c r="G18" s="275"/>
      <c r="H18" s="275"/>
      <c r="I18" s="275"/>
      <c r="J18" s="275"/>
      <c r="K18" s="275"/>
      <c r="L18" s="276"/>
      <c r="M18" s="3"/>
      <c r="N18" s="3"/>
      <c r="O18" s="3"/>
      <c r="P18" s="4">
        <f>SUM(P19:P21)</f>
        <v>256</v>
      </c>
      <c r="Q18" s="23"/>
      <c r="R18" s="285"/>
      <c r="S18" s="285"/>
      <c r="T18" s="23"/>
      <c r="U18" s="23"/>
      <c r="V18" s="285"/>
      <c r="W18" s="285"/>
      <c r="X18" s="23"/>
      <c r="Y18" s="285"/>
      <c r="Z18" s="285"/>
      <c r="AA18" s="3"/>
      <c r="AB18" s="285"/>
      <c r="AC18" s="285"/>
      <c r="AD18" s="3"/>
      <c r="AE18" s="3">
        <f t="shared" si="1"/>
        <v>256</v>
      </c>
      <c r="AF18" s="3"/>
      <c r="AG18" s="106"/>
      <c r="AH18" s="295">
        <f>D17*2*$AH$5</f>
        <v>0</v>
      </c>
      <c r="AI18" s="1"/>
      <c r="AJ18" s="258"/>
      <c r="AK18" s="1"/>
      <c r="AL18" s="58"/>
      <c r="AM18" s="258">
        <f>SUM(K17,H17)</f>
        <v>0</v>
      </c>
      <c r="AN18" s="1"/>
    </row>
    <row r="19" spans="1:40" x14ac:dyDescent="0.25">
      <c r="A19" s="10" t="s">
        <v>284</v>
      </c>
      <c r="B19" s="17"/>
      <c r="C19" s="17"/>
      <c r="D19" s="275">
        <v>2</v>
      </c>
      <c r="E19" s="275"/>
      <c r="F19" s="275"/>
      <c r="G19" s="275">
        <v>0</v>
      </c>
      <c r="H19" s="275"/>
      <c r="I19" s="275"/>
      <c r="J19" s="275"/>
      <c r="K19" s="275"/>
      <c r="L19" s="276" t="e">
        <f>+IF(#REF!&gt;0,$D$1/#REF!,0)</f>
        <v>#REF!</v>
      </c>
      <c r="M19" s="3"/>
      <c r="N19" s="3">
        <f>D19+(E19*G19)</f>
        <v>2</v>
      </c>
      <c r="O19" s="3">
        <f>D19+(E19*I19)</f>
        <v>2</v>
      </c>
      <c r="P19" s="4">
        <f>N19+O19</f>
        <v>4</v>
      </c>
      <c r="Q19" s="23">
        <f>P19*$G$1</f>
        <v>8400</v>
      </c>
      <c r="R19" s="285"/>
      <c r="S19" s="285"/>
      <c r="T19" s="3">
        <f>(R19+S19)*$G$3*$D$1*0.25</f>
        <v>0</v>
      </c>
      <c r="U19" s="3">
        <f t="shared" ref="U19:U21" si="3">T19*0.4</f>
        <v>0</v>
      </c>
      <c r="V19" s="285"/>
      <c r="W19" s="285"/>
      <c r="X19" s="3"/>
      <c r="Y19" s="285"/>
      <c r="Z19" s="285"/>
      <c r="AA19" s="3">
        <f>(Y19+Z19)*$G$3*$D$1*0.25</f>
        <v>0</v>
      </c>
      <c r="AB19" s="285"/>
      <c r="AC19" s="285"/>
      <c r="AD19" s="3">
        <f t="shared" ref="AD19:AD28" si="4">(AB19+AC19)*$G$3*$D$1*0.25</f>
        <v>0</v>
      </c>
      <c r="AE19" s="3">
        <f t="shared" si="1"/>
        <v>4</v>
      </c>
      <c r="AF19" s="3"/>
      <c r="AG19" s="106"/>
      <c r="AH19" s="295">
        <f>D18*2*$AH$5</f>
        <v>0</v>
      </c>
      <c r="AI19" s="1">
        <f>IF(AJ19&gt;0,(P19-D19*2)*(H19+J19)/(G19+I19),0)</f>
        <v>0</v>
      </c>
      <c r="AJ19" s="258">
        <f>J19+H19</f>
        <v>0</v>
      </c>
      <c r="AK19" s="1"/>
      <c r="AL19" s="58"/>
      <c r="AM19" s="258">
        <f>SUM(K19,H19)</f>
        <v>0</v>
      </c>
      <c r="AN19" s="1"/>
    </row>
    <row r="20" spans="1:40" x14ac:dyDescent="0.25">
      <c r="A20" s="10" t="s">
        <v>35</v>
      </c>
      <c r="B20" s="17">
        <v>7</v>
      </c>
      <c r="C20" s="59">
        <f>B20*$P$1*2</f>
        <v>280</v>
      </c>
      <c r="D20" s="275">
        <v>18</v>
      </c>
      <c r="E20" s="275">
        <v>8</v>
      </c>
      <c r="F20" s="275">
        <v>40</v>
      </c>
      <c r="G20" s="275">
        <v>6</v>
      </c>
      <c r="H20" s="275">
        <v>2</v>
      </c>
      <c r="I20" s="275">
        <v>6</v>
      </c>
      <c r="J20" s="275">
        <v>3</v>
      </c>
      <c r="K20" s="275"/>
      <c r="L20" s="276">
        <v>0</v>
      </c>
      <c r="M20" s="3"/>
      <c r="N20" s="3">
        <f>D20+(E20*G20)</f>
        <v>66</v>
      </c>
      <c r="O20" s="3">
        <f>D20+(E20*I20)</f>
        <v>66</v>
      </c>
      <c r="P20" s="4">
        <f>N20+O20</f>
        <v>132</v>
      </c>
      <c r="Q20" s="23">
        <f>P20*$G$1</f>
        <v>277200</v>
      </c>
      <c r="R20" s="285"/>
      <c r="S20" s="285"/>
      <c r="T20" s="3">
        <f>(R20+S20)*$G$3*$D$1*0.25</f>
        <v>0</v>
      </c>
      <c r="U20" s="3">
        <f t="shared" si="3"/>
        <v>0</v>
      </c>
      <c r="V20" s="285"/>
      <c r="W20" s="285"/>
      <c r="X20" s="3"/>
      <c r="Y20" s="285">
        <v>1</v>
      </c>
      <c r="Z20" s="285">
        <v>1</v>
      </c>
      <c r="AA20" s="3">
        <f>(Y20+Z20)*$G$3*$D$1*0.25</f>
        <v>46750</v>
      </c>
      <c r="AB20" s="285"/>
      <c r="AC20" s="285"/>
      <c r="AD20" s="3">
        <f t="shared" si="4"/>
        <v>0</v>
      </c>
      <c r="AE20" s="3">
        <f t="shared" si="1"/>
        <v>154.26190476190476</v>
      </c>
      <c r="AF20" s="3"/>
      <c r="AG20" s="106"/>
      <c r="AH20" s="295">
        <v>0</v>
      </c>
      <c r="AI20" s="1">
        <f>IF(AJ20&gt;0,(P20-D20*2)*(H20+J20)/(G20+I20),0)</f>
        <v>40</v>
      </c>
      <c r="AJ20" s="258">
        <f>J20+H20</f>
        <v>5</v>
      </c>
      <c r="AK20" s="1"/>
      <c r="AL20" s="58"/>
      <c r="AM20" s="258">
        <f>SUM(K20,H20)</f>
        <v>2</v>
      </c>
      <c r="AN20" s="1"/>
    </row>
    <row r="21" spans="1:40" x14ac:dyDescent="0.25">
      <c r="A21" s="10" t="s">
        <v>302</v>
      </c>
      <c r="B21" s="17">
        <v>3</v>
      </c>
      <c r="C21" s="59">
        <f>B21*$P$1*2</f>
        <v>120</v>
      </c>
      <c r="D21" s="275">
        <v>4</v>
      </c>
      <c r="E21" s="275">
        <v>8</v>
      </c>
      <c r="F21" s="275">
        <v>40</v>
      </c>
      <c r="G21" s="275">
        <v>7</v>
      </c>
      <c r="H21" s="275">
        <v>3</v>
      </c>
      <c r="I21" s="275">
        <v>7</v>
      </c>
      <c r="J21" s="275">
        <v>2</v>
      </c>
      <c r="K21" s="275"/>
      <c r="L21" s="276" t="e">
        <f>+IF(#REF!&gt;0,$D$1/#REF!,0)</f>
        <v>#REF!</v>
      </c>
      <c r="M21" s="3"/>
      <c r="N21" s="3">
        <f>D21+(E21*G21)</f>
        <v>60</v>
      </c>
      <c r="O21" s="3">
        <f>D21+(E21*I21)</f>
        <v>60</v>
      </c>
      <c r="P21" s="4">
        <f>N21+O21</f>
        <v>120</v>
      </c>
      <c r="Q21" s="23">
        <f>P21*$G$1</f>
        <v>252000</v>
      </c>
      <c r="R21" s="290"/>
      <c r="S21" s="290"/>
      <c r="T21" s="3">
        <f>(R21+S21)*$G$3*$D$1*0.25</f>
        <v>0</v>
      </c>
      <c r="U21" s="3">
        <f t="shared" si="3"/>
        <v>0</v>
      </c>
      <c r="V21" s="290"/>
      <c r="W21" s="290"/>
      <c r="X21" s="3"/>
      <c r="Y21" s="290">
        <v>1</v>
      </c>
      <c r="Z21" s="290">
        <v>1</v>
      </c>
      <c r="AA21" s="3">
        <f>(Y21+Z21)*$G$3*$D$1*0.25</f>
        <v>46750</v>
      </c>
      <c r="AB21" s="290"/>
      <c r="AC21" s="290"/>
      <c r="AD21" s="3">
        <f t="shared" si="4"/>
        <v>0</v>
      </c>
      <c r="AE21" s="3">
        <f t="shared" si="1"/>
        <v>142.26190476190476</v>
      </c>
      <c r="AF21" s="3"/>
      <c r="AG21" s="106"/>
      <c r="AH21" s="295">
        <v>2</v>
      </c>
      <c r="AI21" s="1">
        <f>IF(AJ21&gt;0,(P21-D21*2)*(H21+J21)/(G21+I21),0)</f>
        <v>40</v>
      </c>
      <c r="AJ21" s="258">
        <f>J21+H21</f>
        <v>5</v>
      </c>
      <c r="AK21" s="1"/>
      <c r="AL21" s="58"/>
      <c r="AM21" s="258">
        <f>SUM(K21,H21)</f>
        <v>3</v>
      </c>
      <c r="AN21" s="1"/>
    </row>
    <row r="22" spans="1:40" x14ac:dyDescent="0.25">
      <c r="A22" s="11" t="s">
        <v>45</v>
      </c>
      <c r="B22" s="59"/>
      <c r="C22" s="59"/>
      <c r="D22" s="275"/>
      <c r="E22" s="275"/>
      <c r="F22" s="275"/>
      <c r="G22" s="275"/>
      <c r="H22" s="275"/>
      <c r="I22" s="275"/>
      <c r="J22" s="275"/>
      <c r="K22" s="275"/>
      <c r="L22" s="276"/>
      <c r="M22" s="3"/>
      <c r="N22" s="3"/>
      <c r="O22" s="3"/>
      <c r="P22" s="4"/>
      <c r="Q22" s="23"/>
      <c r="R22" s="285"/>
      <c r="S22" s="285"/>
      <c r="T22" s="23"/>
      <c r="U22" s="23"/>
      <c r="V22" s="285"/>
      <c r="W22" s="285"/>
      <c r="X22" s="23"/>
      <c r="Y22" s="285"/>
      <c r="Z22" s="285"/>
      <c r="AA22" s="3"/>
      <c r="AB22" s="285"/>
      <c r="AC22" s="285"/>
      <c r="AD22" s="3">
        <f t="shared" si="4"/>
        <v>0</v>
      </c>
      <c r="AE22" s="3">
        <f t="shared" si="1"/>
        <v>0</v>
      </c>
      <c r="AF22" s="3"/>
      <c r="AG22" s="106"/>
      <c r="AH22" s="295">
        <v>0</v>
      </c>
      <c r="AI22" s="1"/>
      <c r="AJ22" s="258"/>
      <c r="AK22" s="1"/>
      <c r="AL22" s="58"/>
      <c r="AM22" s="258">
        <f>SUM(K21,H21)</f>
        <v>3</v>
      </c>
      <c r="AN22" s="1"/>
    </row>
    <row r="23" spans="1:40" x14ac:dyDescent="0.25">
      <c r="A23" s="27" t="s">
        <v>356</v>
      </c>
      <c r="B23" s="60"/>
      <c r="C23" s="60"/>
      <c r="D23" s="275">
        <v>3</v>
      </c>
      <c r="E23" s="275"/>
      <c r="F23" s="275"/>
      <c r="G23" s="275"/>
      <c r="H23" s="275"/>
      <c r="I23" s="275"/>
      <c r="J23" s="275"/>
      <c r="K23" s="275"/>
      <c r="L23" s="276"/>
      <c r="M23" s="3"/>
      <c r="N23" s="3">
        <f t="shared" ref="N23:N28" si="5">D23+(E23*G23)</f>
        <v>3</v>
      </c>
      <c r="O23" s="3">
        <f t="shared" ref="O23:O28" si="6">D23+(E23*I23)</f>
        <v>3</v>
      </c>
      <c r="P23" s="4">
        <f t="shared" ref="P23:P28" si="7">N23+O23</f>
        <v>6</v>
      </c>
      <c r="Q23" s="23">
        <f t="shared" ref="Q23:Q28" si="8">P23*$G$1</f>
        <v>12600</v>
      </c>
      <c r="R23" s="285"/>
      <c r="S23" s="285"/>
      <c r="T23" s="3">
        <f t="shared" ref="T23:T28" si="9">(R23+S23)*$G$3*$D$1*0.25</f>
        <v>0</v>
      </c>
      <c r="U23" s="3">
        <f t="shared" ref="U23:U28" si="10">T23*0.4</f>
        <v>0</v>
      </c>
      <c r="V23" s="285"/>
      <c r="W23" s="285"/>
      <c r="X23" s="3"/>
      <c r="Y23" s="285"/>
      <c r="Z23" s="285"/>
      <c r="AA23" s="3">
        <f t="shared" ref="AA23:AA28" si="11">(Y23+Z23)*$G$3*$D$1*0.25</f>
        <v>0</v>
      </c>
      <c r="AB23" s="285"/>
      <c r="AC23" s="285"/>
      <c r="AD23" s="3">
        <f t="shared" si="4"/>
        <v>0</v>
      </c>
      <c r="AE23" s="3">
        <f t="shared" si="1"/>
        <v>6</v>
      </c>
      <c r="AF23" s="3"/>
      <c r="AG23" s="106"/>
      <c r="AH23" s="295">
        <v>2</v>
      </c>
      <c r="AI23" s="1">
        <f t="shared" ref="AI23:AI28" si="12">IF(AJ23&gt;0,(P23-D23*2)*(H23+J23)/(G23+I23),0)</f>
        <v>0</v>
      </c>
      <c r="AJ23" s="258">
        <f t="shared" ref="AJ23:AJ28" si="13">J23+H23</f>
        <v>0</v>
      </c>
      <c r="AK23" s="1"/>
      <c r="AL23" s="58"/>
      <c r="AM23" s="258">
        <f t="shared" ref="AM23:AM28" si="14">SUM(K23,H23)</f>
        <v>0</v>
      </c>
      <c r="AN23" s="1"/>
    </row>
    <row r="24" spans="1:40" x14ac:dyDescent="0.25">
      <c r="A24" s="10" t="s">
        <v>366</v>
      </c>
      <c r="B24" s="17">
        <v>10</v>
      </c>
      <c r="C24" s="59">
        <f>B24*$P$1*2</f>
        <v>400</v>
      </c>
      <c r="D24" s="275">
        <v>14</v>
      </c>
      <c r="E24" s="275">
        <v>10</v>
      </c>
      <c r="F24" s="275">
        <v>40</v>
      </c>
      <c r="G24" s="275">
        <v>3</v>
      </c>
      <c r="H24" s="275">
        <v>2</v>
      </c>
      <c r="I24" s="275">
        <v>3</v>
      </c>
      <c r="J24" s="275">
        <v>1</v>
      </c>
      <c r="K24" s="275"/>
      <c r="L24" s="276" t="e">
        <f>+IF(#REF!&gt;0,$D$1/#REF!,0)</f>
        <v>#REF!</v>
      </c>
      <c r="M24" s="3"/>
      <c r="N24" s="3">
        <f t="shared" si="5"/>
        <v>44</v>
      </c>
      <c r="O24" s="3">
        <f t="shared" si="6"/>
        <v>44</v>
      </c>
      <c r="P24" s="4">
        <f t="shared" si="7"/>
        <v>88</v>
      </c>
      <c r="Q24" s="23">
        <f t="shared" si="8"/>
        <v>184800</v>
      </c>
      <c r="R24" s="285">
        <v>1</v>
      </c>
      <c r="S24" s="285">
        <v>1</v>
      </c>
      <c r="T24" s="3">
        <f t="shared" si="9"/>
        <v>46750</v>
      </c>
      <c r="U24" s="3">
        <f t="shared" si="10"/>
        <v>18700</v>
      </c>
      <c r="V24" s="285"/>
      <c r="W24" s="285"/>
      <c r="X24" s="3"/>
      <c r="Y24" s="285">
        <v>1</v>
      </c>
      <c r="Z24" s="285">
        <v>1</v>
      </c>
      <c r="AA24" s="3">
        <f t="shared" si="11"/>
        <v>46750</v>
      </c>
      <c r="AB24" s="285"/>
      <c r="AC24" s="285"/>
      <c r="AD24" s="3">
        <f t="shared" si="4"/>
        <v>0</v>
      </c>
      <c r="AE24" s="3">
        <f t="shared" si="1"/>
        <v>132.52380952380952</v>
      </c>
      <c r="AF24" s="3"/>
      <c r="AG24" s="106"/>
      <c r="AH24" s="295">
        <v>0</v>
      </c>
      <c r="AI24" s="1">
        <f t="shared" si="12"/>
        <v>30</v>
      </c>
      <c r="AJ24" s="258">
        <f t="shared" si="13"/>
        <v>3</v>
      </c>
      <c r="AK24" s="1"/>
      <c r="AL24" s="285"/>
      <c r="AM24" s="258">
        <f t="shared" si="14"/>
        <v>2</v>
      </c>
      <c r="AN24" s="1"/>
    </row>
    <row r="25" spans="1:40" x14ac:dyDescent="0.25">
      <c r="A25" s="10" t="s">
        <v>31</v>
      </c>
      <c r="B25" s="17">
        <v>10</v>
      </c>
      <c r="C25" s="59">
        <f>B25*$P$1*2</f>
        <v>400</v>
      </c>
      <c r="D25" s="275">
        <v>14</v>
      </c>
      <c r="E25" s="275">
        <v>10</v>
      </c>
      <c r="F25" s="275">
        <v>30</v>
      </c>
      <c r="G25" s="275">
        <v>3</v>
      </c>
      <c r="H25" s="275">
        <v>0</v>
      </c>
      <c r="I25" s="275">
        <v>3</v>
      </c>
      <c r="J25" s="275">
        <v>0</v>
      </c>
      <c r="K25" s="275"/>
      <c r="L25" s="276" t="e">
        <f>+IF(#REF!&gt;0,$D$1/#REF!,0)</f>
        <v>#REF!</v>
      </c>
      <c r="M25" s="3"/>
      <c r="N25" s="3">
        <f t="shared" si="5"/>
        <v>44</v>
      </c>
      <c r="O25" s="3">
        <f t="shared" si="6"/>
        <v>44</v>
      </c>
      <c r="P25" s="4">
        <f t="shared" si="7"/>
        <v>88</v>
      </c>
      <c r="Q25" s="23">
        <f t="shared" si="8"/>
        <v>184800</v>
      </c>
      <c r="R25" s="285"/>
      <c r="S25" s="285"/>
      <c r="T25" s="3">
        <f t="shared" si="9"/>
        <v>0</v>
      </c>
      <c r="U25" s="3">
        <f t="shared" si="10"/>
        <v>0</v>
      </c>
      <c r="V25" s="285"/>
      <c r="W25" s="285"/>
      <c r="X25" s="3"/>
      <c r="Y25" s="285">
        <v>0</v>
      </c>
      <c r="Z25" s="285">
        <v>0</v>
      </c>
      <c r="AA25" s="3">
        <f t="shared" si="11"/>
        <v>0</v>
      </c>
      <c r="AB25" s="285"/>
      <c r="AC25" s="285"/>
      <c r="AD25" s="3">
        <f t="shared" si="4"/>
        <v>0</v>
      </c>
      <c r="AE25" s="3">
        <f t="shared" si="1"/>
        <v>88</v>
      </c>
      <c r="AF25" s="3"/>
      <c r="AG25" s="106"/>
      <c r="AH25" s="295">
        <v>0</v>
      </c>
      <c r="AI25" s="1">
        <f t="shared" si="12"/>
        <v>0</v>
      </c>
      <c r="AJ25" s="258">
        <f t="shared" si="13"/>
        <v>0</v>
      </c>
      <c r="AK25" s="1"/>
      <c r="AL25" s="285"/>
      <c r="AM25" s="258">
        <f t="shared" si="14"/>
        <v>0</v>
      </c>
      <c r="AN25" s="1"/>
    </row>
    <row r="26" spans="1:40" x14ac:dyDescent="0.25">
      <c r="A26" s="10" t="s">
        <v>283</v>
      </c>
      <c r="B26" s="17">
        <v>10</v>
      </c>
      <c r="C26" s="59">
        <f>B26*$P$1*2</f>
        <v>400</v>
      </c>
      <c r="D26" s="275">
        <v>14</v>
      </c>
      <c r="E26" s="275">
        <v>10</v>
      </c>
      <c r="F26" s="275">
        <v>25</v>
      </c>
      <c r="G26" s="275">
        <v>2</v>
      </c>
      <c r="H26" s="275">
        <v>0</v>
      </c>
      <c r="I26" s="275">
        <v>2</v>
      </c>
      <c r="J26" s="275">
        <v>0</v>
      </c>
      <c r="K26" s="275"/>
      <c r="L26" s="276"/>
      <c r="M26" s="3"/>
      <c r="N26" s="3">
        <f t="shared" si="5"/>
        <v>34</v>
      </c>
      <c r="O26" s="3">
        <f t="shared" si="6"/>
        <v>34</v>
      </c>
      <c r="P26" s="4">
        <f t="shared" si="7"/>
        <v>68</v>
      </c>
      <c r="Q26" s="23">
        <f t="shared" si="8"/>
        <v>142800</v>
      </c>
      <c r="R26" s="285"/>
      <c r="S26" s="285"/>
      <c r="T26" s="3">
        <f t="shared" si="9"/>
        <v>0</v>
      </c>
      <c r="U26" s="3">
        <f t="shared" si="10"/>
        <v>0</v>
      </c>
      <c r="V26" s="285"/>
      <c r="W26" s="285"/>
      <c r="X26" s="3"/>
      <c r="Y26" s="285">
        <v>1</v>
      </c>
      <c r="Z26" s="285">
        <v>1</v>
      </c>
      <c r="AA26" s="3">
        <f t="shared" si="11"/>
        <v>46750</v>
      </c>
      <c r="AB26" s="285"/>
      <c r="AC26" s="285"/>
      <c r="AD26" s="3">
        <f t="shared" si="4"/>
        <v>0</v>
      </c>
      <c r="AE26" s="3">
        <f t="shared" si="1"/>
        <v>90.261904761904759</v>
      </c>
      <c r="AF26" s="3"/>
      <c r="AG26" s="106"/>
      <c r="AH26" s="295">
        <v>0</v>
      </c>
      <c r="AI26" s="1">
        <f t="shared" si="12"/>
        <v>0</v>
      </c>
      <c r="AJ26" s="258">
        <f t="shared" si="13"/>
        <v>0</v>
      </c>
      <c r="AK26" s="1"/>
      <c r="AL26" s="285"/>
      <c r="AM26" s="258">
        <f t="shared" si="14"/>
        <v>0</v>
      </c>
      <c r="AN26" s="1"/>
    </row>
    <row r="27" spans="1:40" x14ac:dyDescent="0.25">
      <c r="A27" s="28" t="s">
        <v>301</v>
      </c>
      <c r="B27" s="17"/>
      <c r="C27" s="17"/>
      <c r="D27" s="275">
        <v>0</v>
      </c>
      <c r="E27" s="275"/>
      <c r="F27" s="275"/>
      <c r="G27" s="275"/>
      <c r="H27" s="275"/>
      <c r="I27" s="275"/>
      <c r="J27" s="275"/>
      <c r="K27" s="275"/>
      <c r="L27" s="276"/>
      <c r="M27" s="3"/>
      <c r="N27" s="3">
        <f t="shared" si="5"/>
        <v>0</v>
      </c>
      <c r="O27" s="3">
        <f t="shared" si="6"/>
        <v>0</v>
      </c>
      <c r="P27" s="4">
        <f t="shared" si="7"/>
        <v>0</v>
      </c>
      <c r="Q27" s="23">
        <f t="shared" si="8"/>
        <v>0</v>
      </c>
      <c r="R27" s="285"/>
      <c r="S27" s="285"/>
      <c r="T27" s="3">
        <f t="shared" si="9"/>
        <v>0</v>
      </c>
      <c r="U27" s="3">
        <f t="shared" si="10"/>
        <v>0</v>
      </c>
      <c r="V27" s="285"/>
      <c r="W27" s="285"/>
      <c r="X27" s="3"/>
      <c r="Y27" s="285"/>
      <c r="Z27" s="285"/>
      <c r="AA27" s="3">
        <f t="shared" si="11"/>
        <v>0</v>
      </c>
      <c r="AB27" s="285"/>
      <c r="AC27" s="285"/>
      <c r="AD27" s="3">
        <f t="shared" si="4"/>
        <v>0</v>
      </c>
      <c r="AE27" s="3">
        <f t="shared" si="1"/>
        <v>0</v>
      </c>
      <c r="AF27" s="3"/>
      <c r="AG27" s="106"/>
      <c r="AH27" s="295"/>
      <c r="AI27" s="1">
        <f t="shared" si="12"/>
        <v>0</v>
      </c>
      <c r="AJ27" s="258">
        <f t="shared" si="13"/>
        <v>0</v>
      </c>
      <c r="AK27" s="1"/>
      <c r="AL27" s="285"/>
      <c r="AM27" s="258">
        <f t="shared" si="14"/>
        <v>0</v>
      </c>
      <c r="AN27" s="1"/>
    </row>
    <row r="28" spans="1:40" x14ac:dyDescent="0.25">
      <c r="A28" s="10" t="s">
        <v>286</v>
      </c>
      <c r="B28" s="17"/>
      <c r="C28" s="17"/>
      <c r="D28" s="275">
        <v>10</v>
      </c>
      <c r="E28" s="275"/>
      <c r="F28" s="275"/>
      <c r="G28" s="275"/>
      <c r="H28" s="275"/>
      <c r="I28" s="275"/>
      <c r="J28" s="275"/>
      <c r="K28" s="275"/>
      <c r="L28" s="276" t="e">
        <f>+IF(#REF!&gt;0,$D$1/#REF!,0)</f>
        <v>#REF!</v>
      </c>
      <c r="M28" s="3"/>
      <c r="N28" s="3">
        <f t="shared" si="5"/>
        <v>10</v>
      </c>
      <c r="O28" s="3">
        <f t="shared" si="6"/>
        <v>10</v>
      </c>
      <c r="P28" s="4">
        <f t="shared" si="7"/>
        <v>20</v>
      </c>
      <c r="Q28" s="23">
        <f t="shared" si="8"/>
        <v>42000</v>
      </c>
      <c r="R28" s="285"/>
      <c r="S28" s="285"/>
      <c r="T28" s="3">
        <f t="shared" si="9"/>
        <v>0</v>
      </c>
      <c r="U28" s="3">
        <f t="shared" si="10"/>
        <v>0</v>
      </c>
      <c r="V28" s="285"/>
      <c r="W28" s="285"/>
      <c r="X28" s="3"/>
      <c r="Y28" s="285"/>
      <c r="Z28" s="285"/>
      <c r="AA28" s="3">
        <f t="shared" si="11"/>
        <v>0</v>
      </c>
      <c r="AB28" s="285"/>
      <c r="AC28" s="285"/>
      <c r="AD28" s="3">
        <f t="shared" si="4"/>
        <v>0</v>
      </c>
      <c r="AE28" s="3">
        <f t="shared" si="1"/>
        <v>20</v>
      </c>
      <c r="AF28" s="3"/>
      <c r="AG28" s="106"/>
      <c r="AH28" s="295">
        <v>0</v>
      </c>
      <c r="AI28" s="1">
        <f t="shared" si="12"/>
        <v>0</v>
      </c>
      <c r="AJ28" s="258">
        <f t="shared" si="13"/>
        <v>0</v>
      </c>
      <c r="AK28" s="1"/>
      <c r="AL28" s="285"/>
      <c r="AM28" s="258">
        <f t="shared" si="14"/>
        <v>0</v>
      </c>
      <c r="AN28" s="1"/>
    </row>
    <row r="29" spans="1:40" x14ac:dyDescent="0.25">
      <c r="A29" s="10"/>
      <c r="B29" s="17"/>
      <c r="C29" s="17"/>
      <c r="D29" s="19"/>
      <c r="E29" s="19"/>
      <c r="F29" s="19"/>
      <c r="G29" s="19"/>
      <c r="H29" s="19"/>
      <c r="I29" s="19"/>
      <c r="J29" s="19"/>
      <c r="K29" s="19"/>
      <c r="L29" s="8"/>
      <c r="M29" s="3"/>
      <c r="N29" s="3"/>
      <c r="O29" s="3"/>
      <c r="P29" s="4"/>
      <c r="Q29" s="23"/>
      <c r="R29" s="285"/>
      <c r="S29" s="285"/>
      <c r="T29" s="23"/>
      <c r="U29" s="23"/>
      <c r="V29" s="285"/>
      <c r="W29" s="285"/>
      <c r="X29" s="23"/>
      <c r="Y29" s="120"/>
      <c r="Z29" s="120"/>
      <c r="AA29" s="3"/>
      <c r="AB29" s="120"/>
      <c r="AC29" s="120"/>
      <c r="AD29" s="3"/>
      <c r="AE29" s="3"/>
      <c r="AF29" s="3"/>
      <c r="AG29" s="106"/>
      <c r="AH29" s="295">
        <v>10</v>
      </c>
      <c r="AI29" s="1">
        <f>IF(AJ29&gt;0,P27*(H28+J28)/(G28+I28),0)</f>
        <v>0</v>
      </c>
      <c r="AJ29" s="258">
        <f>J28+H28</f>
        <v>0</v>
      </c>
      <c r="AK29" s="1"/>
      <c r="AL29" s="285"/>
      <c r="AM29" s="1"/>
      <c r="AN29" s="1"/>
    </row>
    <row r="30" spans="1:40" ht="45" x14ac:dyDescent="0.25">
      <c r="A30" s="26" t="s">
        <v>48</v>
      </c>
      <c r="B30" s="59"/>
      <c r="C30" s="59">
        <f>SUM(C9,C18,C24:C27)</f>
        <v>2800</v>
      </c>
      <c r="D30" s="83">
        <f>SUM(D11:D27)</f>
        <v>127</v>
      </c>
      <c r="E30" s="83">
        <f>SUM(E11:E27)</f>
        <v>94</v>
      </c>
      <c r="F30" s="83"/>
      <c r="G30" s="123"/>
      <c r="H30" s="123"/>
      <c r="I30" s="123"/>
      <c r="J30" s="123"/>
      <c r="K30" s="123"/>
      <c r="L30" s="123"/>
      <c r="M30" s="2"/>
      <c r="N30" s="29">
        <f>SUM(N11:N16,N19:N28)</f>
        <v>657</v>
      </c>
      <c r="O30" s="29">
        <f>SUM(O11:O16,O19:O28)</f>
        <v>657</v>
      </c>
      <c r="P30" s="29">
        <f>SUM(P11:P16,P19:P28)</f>
        <v>1314</v>
      </c>
      <c r="Q30" s="132">
        <f>SUM(Q11:Q27)</f>
        <v>2717400</v>
      </c>
      <c r="R30" s="123">
        <f t="shared" ref="R30:AA30" si="15">SUM(R11:R29)</f>
        <v>3</v>
      </c>
      <c r="S30" s="123">
        <f t="shared" si="15"/>
        <v>3</v>
      </c>
      <c r="T30" s="125">
        <f t="shared" si="15"/>
        <v>140250</v>
      </c>
      <c r="U30" s="125">
        <f t="shared" si="15"/>
        <v>56100</v>
      </c>
      <c r="V30" s="123">
        <f>SUM(V9:V29)</f>
        <v>2</v>
      </c>
      <c r="W30" s="123">
        <f>SUM(W9:W29)</f>
        <v>2</v>
      </c>
      <c r="X30" s="125">
        <f>SUM(X9:X29)</f>
        <v>204000</v>
      </c>
      <c r="Y30" s="123">
        <f t="shared" si="15"/>
        <v>5</v>
      </c>
      <c r="Z30" s="123">
        <f t="shared" si="15"/>
        <v>5</v>
      </c>
      <c r="AA30" s="125">
        <f t="shared" si="15"/>
        <v>233750</v>
      </c>
      <c r="AB30" s="123"/>
      <c r="AC30" s="123"/>
      <c r="AD30" s="125">
        <f>SUM(AD11:AD29)</f>
        <v>0</v>
      </c>
      <c r="AE30" s="29">
        <f>SUM(AE9:AE16,AE19:AE28)</f>
        <v>1589.2380952380956</v>
      </c>
      <c r="AF30" s="125">
        <f>Q30+AA30+AD30+T30+X30</f>
        <v>3295400</v>
      </c>
      <c r="AG30" s="310" t="s">
        <v>319</v>
      </c>
      <c r="AH30" s="2">
        <f>SUM(AH11:AH28)</f>
        <v>34</v>
      </c>
      <c r="AI30" s="2">
        <f>SUM(AI11:AI28)</f>
        <v>366</v>
      </c>
      <c r="AJ30" s="87"/>
      <c r="AK30" s="2">
        <f>SUM(AK11:AK28)</f>
        <v>0</v>
      </c>
      <c r="AL30" s="120"/>
      <c r="AM30" s="2">
        <f>AM31/5</f>
        <v>137.5</v>
      </c>
      <c r="AN30" s="1"/>
    </row>
    <row r="31" spans="1:40" s="7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Q31" s="5"/>
      <c r="R31" s="5"/>
      <c r="S31" s="5"/>
      <c r="T31" s="5"/>
      <c r="U31" s="5"/>
      <c r="V31" s="5"/>
      <c r="W31" s="5"/>
      <c r="X31" s="5"/>
      <c r="Y31"/>
      <c r="Z31"/>
      <c r="AA31"/>
      <c r="AB31"/>
      <c r="AC31"/>
      <c r="AD31"/>
      <c r="AE31"/>
      <c r="AF31"/>
      <c r="AG31" s="309" t="s">
        <v>318</v>
      </c>
      <c r="AH31" s="2">
        <f>SUM(AH11:AH28)*5</f>
        <v>170</v>
      </c>
      <c r="AI31" s="2">
        <f>SUM(AI11:AI28)*5</f>
        <v>1830</v>
      </c>
      <c r="AJ31" s="4">
        <f>SUM(AJ11:AJ28)</f>
        <v>29</v>
      </c>
      <c r="AK31" s="2">
        <f>SUM(AK11:AK28)*5</f>
        <v>0</v>
      </c>
      <c r="AL31" s="2">
        <f>SUM(AL11:AL28)</f>
        <v>0</v>
      </c>
      <c r="AM31" s="2">
        <f>AA30/G3</f>
        <v>687.5</v>
      </c>
      <c r="AN31" s="2"/>
    </row>
    <row r="32" spans="1:40" ht="15.75" thickBot="1" x14ac:dyDescent="0.3">
      <c r="A32" s="56"/>
    </row>
    <row r="33" spans="1:14" ht="16.5" thickBot="1" x14ac:dyDescent="0.3">
      <c r="D33" s="358" t="s">
        <v>97</v>
      </c>
      <c r="E33" s="359"/>
      <c r="F33" s="359"/>
      <c r="G33" s="359"/>
      <c r="H33" s="359"/>
      <c r="I33" s="359"/>
      <c r="J33" s="359"/>
      <c r="K33" s="359"/>
      <c r="L33" s="359"/>
      <c r="M33" s="360"/>
      <c r="N33" s="166"/>
    </row>
    <row r="34" spans="1:14" x14ac:dyDescent="0.25">
      <c r="A34" t="s">
        <v>293</v>
      </c>
    </row>
    <row r="35" spans="1:14" x14ac:dyDescent="0.25">
      <c r="A35" t="s">
        <v>367</v>
      </c>
    </row>
    <row r="36" spans="1:14" x14ac:dyDescent="0.25">
      <c r="A36" t="s">
        <v>287</v>
      </c>
    </row>
    <row r="40" spans="1:14" x14ac:dyDescent="0.25">
      <c r="A40" s="20"/>
      <c r="B40" s="20"/>
      <c r="C40" s="20"/>
    </row>
  </sheetData>
  <sheetProtection algorithmName="SHA-512" hashValue="0kbR66GBWf1g9DIoN9CpqVmZWaVhFVPdu1DALbdDQa3FgJpklj//M/kS5S8rNPHHH6oondDl7zH3fE1yqpMc+w==" saltValue="D4Xj8TZL83WHQ2NfeRYhfw==" spinCount="100000" sheet="1" objects="1" scenarios="1" selectLockedCells="1"/>
  <customSheetViews>
    <customSheetView guid="{54055508-3439-4A0A-A803-01A23ABF8DBD}" fitToPage="1" hiddenColumns="1">
      <pane xSplit="1" topLeftCell="B1" activePane="topRight" state="frozen"/>
      <selection pane="topRight" activeCell="R18" sqref="R18"/>
      <pageMargins left="0.25" right="0.25" top="0.75" bottom="0.75" header="0.3" footer="0.3"/>
      <pageSetup paperSize="8" scale="52" orientation="landscape" r:id="rId1"/>
      <headerFooter>
        <oddHeader>&amp;C&amp;14 4. &amp;"-,Fet"studieår</oddHeader>
      </headerFooter>
    </customSheetView>
    <customSheetView guid="{7084DC93-B2BE-4098-87E1-DAC5FBCE0E0A}" scale="70" fitToPage="1" hiddenColumns="1" topLeftCell="A5">
      <pane xSplit="1" topLeftCell="B1" activePane="topRight" state="frozen"/>
      <selection pane="topRight" activeCell="S10" sqref="S10:S11"/>
      <pageMargins left="0.25" right="0.25" top="0.75" bottom="0.75" header="0.3" footer="0.3"/>
      <pageSetup paperSize="8" scale="52" orientation="landscape" r:id="rId2"/>
      <headerFooter>
        <oddHeader>&amp;C&amp;14 4. &amp;"-,Fet"studieår</oddHeader>
      </headerFooter>
    </customSheetView>
    <customSheetView guid="{37BC2192-ABF8-4439-93C4-8E65E7EF90F5}" scale="70" fitToPage="1" hiddenColumns="1" topLeftCell="A4">
      <pane xSplit="1" topLeftCell="B1" activePane="topRight" state="frozen"/>
      <selection pane="topRight" activeCell="S10" sqref="S10:S11"/>
      <pageMargins left="0.25" right="0.25" top="0.75" bottom="0.75" header="0.3" footer="0.3"/>
      <pageSetup paperSize="8" scale="52" orientation="landscape" r:id="rId3"/>
      <headerFooter>
        <oddHeader>&amp;C&amp;14 4. &amp;"-,Fet"studieår</oddHeader>
      </headerFooter>
    </customSheetView>
    <customSheetView guid="{1283C6B5-B05C-447B-8854-CDB081C03FD4}" scale="80" fitToPage="1" hiddenColumns="1" topLeftCell="A7">
      <pane xSplit="1" topLeftCell="B1" activePane="topRight" state="frozen"/>
      <selection pane="topRight" activeCell="D22" sqref="D22"/>
      <pageMargins left="0.25" right="0.25" top="0.75" bottom="0.75" header="0.3" footer="0.3"/>
      <pageSetup paperSize="8" scale="52" orientation="landscape" r:id="rId4"/>
      <headerFooter>
        <oddHeader>&amp;C&amp;14 4. &amp;"-,Fet"studieår</oddHeader>
      </headerFooter>
    </customSheetView>
    <customSheetView guid="{F170D8DF-3539-4353-BD8B-1F5EB452DAE5}" scale="112" fitToPage="1" hiddenColumns="1">
      <pane xSplit="1" topLeftCell="D1" activePane="topRight" state="frozen"/>
      <selection pane="topRight" activeCell="M15" sqref="M15"/>
      <pageMargins left="0.25" right="0.25" top="0.75" bottom="0.75" header="0.3" footer="0.3"/>
      <pageSetup paperSize="8" scale="52" orientation="landscape" r:id="rId5"/>
      <headerFooter>
        <oddHeader>&amp;C&amp;14 4. &amp;"-,Fet"studieår</oddHeader>
      </headerFooter>
    </customSheetView>
    <customSheetView guid="{F727610F-D041-4412-A81F-AFD013C44971}" scale="90" fitToPage="1" hiddenColumns="1">
      <pane xSplit="1" topLeftCell="H1" activePane="topRight" state="frozen"/>
      <selection pane="topRight" activeCell="L23" sqref="L23"/>
      <pageMargins left="0.25" right="0.25" top="0.75" bottom="0.75" header="0.3" footer="0.3"/>
      <pageSetup paperSize="8" scale="52" orientation="landscape" r:id="rId6"/>
      <headerFooter>
        <oddHeader>&amp;C&amp;14 4. &amp;"-,Fet"studieår</oddHeader>
      </headerFooter>
    </customSheetView>
    <customSheetView guid="{46AB9545-8BEE-4A2F-B820-9F80AC24A11B}" scale="90" fitToPage="1" hiddenColumns="1">
      <pane xSplit="1" topLeftCell="C1" activePane="topRight" state="frozen"/>
      <selection pane="topRight" activeCell="Y10" sqref="Y10"/>
      <pageMargins left="0.25" right="0.25" top="0.75" bottom="0.75" header="0.3" footer="0.3"/>
      <pageSetup paperSize="8" scale="52" orientation="landscape" r:id="rId7"/>
      <headerFooter>
        <oddHeader>&amp;C&amp;14 4. &amp;"-,Fet"studieår</oddHeader>
      </headerFooter>
    </customSheetView>
    <customSheetView guid="{E5349645-7714-4437-B9BC-26ED822E5BC5}" scale="90" fitToPage="1" hiddenColumns="1">
      <pane xSplit="1" topLeftCell="B1" activePane="topRight" state="frozen"/>
      <selection pane="topRight" activeCell="E27" sqref="E27"/>
      <pageMargins left="0.25" right="0.25" top="0.75" bottom="0.75" header="0.3" footer="0.3"/>
      <pageSetup paperSize="9" scale="36" orientation="landscape" r:id="rId8"/>
      <headerFooter>
        <oddHeader>&amp;C&amp;14 4. &amp;"-,Fet"studieår</oddHeader>
      </headerFooter>
    </customSheetView>
    <customSheetView guid="{43EFFC0A-CCC0-43DD-A273-4AF58757EC00}" fitToPage="1" hiddenColumns="1">
      <selection activeCell="H15" sqref="H15"/>
      <pageMargins left="0.70866141732283472" right="0.70866141732283472" top="0.78740157480314965" bottom="0.78740157480314965" header="0.31496062992125984" footer="0.31496062992125984"/>
      <pageSetup paperSize="9" scale="88" orientation="landscape" r:id="rId9"/>
      <headerFooter>
        <oddHeader>&amp;C&amp;14 4. &amp;"-,Fet"studieår</oddHeader>
      </headerFooter>
    </customSheetView>
    <customSheetView guid="{7AE955BB-7BF8-4CA4-ABF1-6A0BB53A48AD}" fitToPage="1" hiddenRows="1" hiddenColumns="1" topLeftCell="H1">
      <selection activeCell="AA13" sqref="AA13"/>
      <pageMargins left="0.70866141732283472" right="0.70866141732283472" top="0.78740157480314965" bottom="0.78740157480314965" header="0.31496062992125984" footer="0.31496062992125984"/>
      <pageSetup paperSize="9" scale="88" orientation="landscape" r:id="rId10"/>
      <headerFooter>
        <oddHeader>&amp;C&amp;14 4. &amp;"-,Fet"studieår</oddHeader>
      </headerFooter>
    </customSheetView>
    <customSheetView guid="{BB9ED292-532F-438C-A4A6-F8D66D70E0E7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11"/>
      <headerFooter>
        <oddHeader>&amp;C&amp;14 4. &amp;"-,Fet"studieår</oddHeader>
      </headerFooter>
    </customSheetView>
    <customSheetView guid="{726FF687-50E0-4F8A-BCCB-6DA9E6D367D4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12"/>
      <headerFooter>
        <oddHeader>&amp;C&amp;14 4. &amp;"-,Fet"studieår</oddHeader>
      </headerFooter>
    </customSheetView>
    <customSheetView guid="{B76C0EA9-E79B-4DA2-9ADE-66DB47109F8F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13"/>
      <headerFooter>
        <oddHeader>&amp;C&amp;14 4. &amp;"-,Fet"studieår</oddHeader>
      </headerFooter>
    </customSheetView>
    <customSheetView guid="{91227156-ECBD-48FD-8964-78F3608400FC}" fitToPage="1" hiddenRows="1" hiddenColumns="1" topLeftCell="F9">
      <selection activeCell="S31" sqref="S31"/>
      <pageMargins left="0.70866141732283472" right="0.70866141732283472" top="0.78740157480314965" bottom="0.78740157480314965" header="0.31496062992125984" footer="0.31496062992125984"/>
      <pageSetup paperSize="9" scale="88" orientation="landscape" r:id="rId14"/>
      <headerFooter>
        <oddHeader>&amp;C&amp;14 4. &amp;"-,Fet"studieår</oddHeader>
      </headerFooter>
    </customSheetView>
    <customSheetView guid="{1241DC17-BD41-46C5-9DB1-684763A09F24}" fitToPage="1" hiddenColumns="1">
      <selection activeCell="I18" sqref="I18"/>
      <pageMargins left="0.70866141732283472" right="0.70866141732283472" top="0.78740157480314965" bottom="0.78740157480314965" header="0.31496062992125984" footer="0.31496062992125984"/>
      <pageSetup paperSize="9" scale="47" orientation="landscape" r:id="rId15"/>
      <headerFooter>
        <oddHeader>&amp;C&amp;14 4. &amp;"-,Fet"studieår</oddHeader>
      </headerFooter>
    </customSheetView>
    <customSheetView guid="{C1FECEF4-D739-4F39-9B89-CF4C04A77A9B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16"/>
      <headerFooter>
        <oddHeader>&amp;C&amp;14 4. &amp;"-,Fet"studieår</oddHeader>
      </headerFooter>
    </customSheetView>
    <customSheetView guid="{83C69039-3E29-46E1-85FB-B9165E0BFA91}" fitToPage="1" hiddenColumns="1">
      <selection activeCell="N12" sqref="N12"/>
      <pageMargins left="0.70866141732283472" right="0.70866141732283472" top="0.78740157480314965" bottom="0.78740157480314965" header="0.31496062992125984" footer="0.31496062992125984"/>
      <pageSetup paperSize="9" scale="47" orientation="landscape" r:id="rId17"/>
      <headerFooter>
        <oddHeader>&amp;C&amp;14 4. &amp;"-,Fet"studieår</oddHeader>
      </headerFooter>
    </customSheetView>
    <customSheetView guid="{F38A39FA-EF57-4062-A2AD-F3BEB88C5762}" fitToPage="1" hiddenColumns="1">
      <selection activeCell="H15" sqref="H15"/>
      <pageMargins left="0.70866141732283472" right="0.70866141732283472" top="0.78740157480314965" bottom="0.78740157480314965" header="0.31496062992125984" footer="0.31496062992125984"/>
      <pageSetup paperSize="9" scale="88" orientation="landscape" r:id="rId18"/>
      <headerFooter>
        <oddHeader>&amp;C&amp;14 4. &amp;"-,Fet"studieår</oddHeader>
      </headerFooter>
    </customSheetView>
    <customSheetView guid="{749D43A3-052D-442F-AE88-F6CCB83A1282}" scale="90" fitToPage="1" hiddenColumns="1" topLeftCell="A5">
      <pane xSplit="1" topLeftCell="N1" activePane="topRight" state="frozen"/>
      <selection pane="topRight" activeCell="W15" sqref="W15"/>
      <pageMargins left="0.70866141732283472" right="0.70866141732283472" top="0.78740157480314965" bottom="0.78740157480314965" header="0.31496062992125984" footer="0.31496062992125984"/>
      <pageSetup paperSize="9" scale="88" orientation="landscape" r:id="rId19"/>
      <headerFooter>
        <oddHeader>&amp;C&amp;14 4. &amp;"-,Fet"studieår</oddHeader>
      </headerFooter>
    </customSheetView>
    <customSheetView guid="{AC2983A2-F978-40B7-A196-35F34E705157}" scale="110" fitToPage="1" hiddenColumns="1">
      <pane xSplit="1" topLeftCell="D1" activePane="topRight" state="frozen"/>
      <selection pane="topRight" activeCell="D29" sqref="D29"/>
      <pageMargins left="0.25" right="0.25" top="0.75" bottom="0.75" header="0.3" footer="0.3"/>
      <pageSetup paperSize="8" scale="52" orientation="landscape" r:id="rId20"/>
      <headerFooter>
        <oddHeader>&amp;C&amp;14 4. &amp;"-,Fet"studieår</oddHeader>
      </headerFooter>
    </customSheetView>
    <customSheetView guid="{2A2C752C-8C42-4F9A-A40C-FE7F7014F210}" fitToPage="1" hiddenColumns="1">
      <pane xSplit="1" topLeftCell="B1" activePane="topRight" state="frozen"/>
      <selection pane="topRight" activeCell="D1" sqref="D1"/>
      <pageMargins left="0.25" right="0.25" top="0.75" bottom="0.75" header="0.3" footer="0.3"/>
      <pageSetup paperSize="8" scale="52" orientation="landscape" r:id="rId21"/>
      <headerFooter>
        <oddHeader>&amp;C&amp;14 4. &amp;"-,Fet"studieår</oddHeader>
      </headerFooter>
    </customSheetView>
    <customSheetView guid="{0E885D9C-CD7C-4655-8709-41793617E0A7}" fitToPage="1" hiddenColumns="1" topLeftCell="A6">
      <pane xSplit="1" topLeftCell="R1" activePane="topRight" state="frozen"/>
      <selection pane="topRight" activeCell="V9" sqref="V9"/>
      <pageMargins left="0.25" right="0.25" top="0.75" bottom="0.75" header="0.3" footer="0.3"/>
      <pageSetup paperSize="8" scale="52" orientation="landscape" r:id="rId22"/>
      <headerFooter>
        <oddHeader>&amp;C&amp;14 4. &amp;"-,Fet"studieår</oddHeader>
      </headerFooter>
    </customSheetView>
    <customSheetView guid="{CB7E9FB3-C7A3-44DE-98E4-19C23B487785}" fitToPage="1" hiddenColumns="1">
      <pane xSplit="1" topLeftCell="B1" activePane="topRight" state="frozen"/>
      <selection pane="topRight" activeCell="R18" sqref="R18"/>
      <pageMargins left="0.25" right="0.25" top="0.75" bottom="0.75" header="0.3" footer="0.3"/>
      <pageSetup paperSize="8" scale="52" orientation="landscape" r:id="rId23"/>
      <headerFooter>
        <oddHeader>&amp;C&amp;14 4. &amp;"-,Fet"studieår</oddHeader>
      </headerFooter>
    </customSheetView>
  </customSheetViews>
  <mergeCells count="6">
    <mergeCell ref="AH3:AN3"/>
    <mergeCell ref="D33:M33"/>
    <mergeCell ref="D5:Q5"/>
    <mergeCell ref="AH6:AN6"/>
    <mergeCell ref="AI7:AJ7"/>
    <mergeCell ref="AK7:AL7"/>
  </mergeCells>
  <pageMargins left="0.25" right="0.25" top="0.75" bottom="0.75" header="0.3" footer="0.3"/>
  <pageSetup paperSize="8" scale="52" orientation="landscape" r:id="rId24"/>
  <headerFooter>
    <oddHeader>&amp;C&amp;14 4. &amp;"-,Fet"studieår</oddHeader>
  </headerFooter>
  <legacyDrawing r:id="rId2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8"/>
  <sheetViews>
    <sheetView topLeftCell="A20" zoomScaleNormal="100" workbookViewId="0">
      <selection activeCell="E49" sqref="E49"/>
    </sheetView>
  </sheetViews>
  <sheetFormatPr defaultColWidth="11.42578125" defaultRowHeight="15" x14ac:dyDescent="0.25"/>
  <cols>
    <col min="1" max="1" width="32.140625" style="140" bestFit="1" customWidth="1"/>
    <col min="2" max="2" width="9.140625" customWidth="1"/>
    <col min="3" max="3" width="12.5703125" customWidth="1"/>
    <col min="4" max="4" width="13.42578125" customWidth="1"/>
    <col min="5" max="5" width="11.5703125" customWidth="1"/>
    <col min="6" max="6" width="13.42578125" customWidth="1"/>
    <col min="7" max="7" width="15.42578125" customWidth="1"/>
    <col min="8" max="8" width="0.42578125" customWidth="1"/>
    <col min="9" max="9" width="12" customWidth="1"/>
    <col min="10" max="10" width="9.85546875" bestFit="1" customWidth="1"/>
    <col min="11" max="11" width="8.42578125" hidden="1" customWidth="1"/>
    <col min="12" max="256" width="9.140625" customWidth="1"/>
  </cols>
  <sheetData>
    <row r="1" spans="1:11" ht="15.75" x14ac:dyDescent="0.25">
      <c r="E1" s="147"/>
    </row>
    <row r="2" spans="1:11" ht="30" x14ac:dyDescent="0.25">
      <c r="A2"/>
      <c r="C2" s="304" t="s">
        <v>9</v>
      </c>
      <c r="D2" s="296">
        <v>2100</v>
      </c>
    </row>
    <row r="3" spans="1:11" x14ac:dyDescent="0.25">
      <c r="A3"/>
    </row>
    <row r="4" spans="1:11" ht="16.5" thickBot="1" x14ac:dyDescent="0.3">
      <c r="A4" s="138"/>
      <c r="B4" s="135"/>
      <c r="C4" s="136"/>
      <c r="D4" s="368" t="s">
        <v>208</v>
      </c>
      <c r="E4" s="369"/>
      <c r="F4" s="370"/>
      <c r="G4" s="137"/>
    </row>
    <row r="5" spans="1:11" ht="75" x14ac:dyDescent="0.25">
      <c r="A5" s="71" t="s">
        <v>1</v>
      </c>
      <c r="B5" s="72" t="s">
        <v>217</v>
      </c>
      <c r="C5" s="81" t="s">
        <v>196</v>
      </c>
      <c r="D5" s="145" t="s">
        <v>120</v>
      </c>
      <c r="E5" s="145" t="s">
        <v>121</v>
      </c>
      <c r="F5" s="80" t="s">
        <v>109</v>
      </c>
      <c r="G5" s="79" t="s">
        <v>341</v>
      </c>
      <c r="I5" s="146" t="s">
        <v>336</v>
      </c>
      <c r="J5" s="190" t="s">
        <v>62</v>
      </c>
      <c r="K5" s="190" t="s">
        <v>181</v>
      </c>
    </row>
    <row r="6" spans="1:11" x14ac:dyDescent="0.25">
      <c r="A6" s="139" t="s">
        <v>135</v>
      </c>
      <c r="B6" s="64">
        <v>10</v>
      </c>
      <c r="C6" s="64">
        <f>B6*4</f>
        <v>40</v>
      </c>
      <c r="D6" s="285">
        <v>20</v>
      </c>
      <c r="E6" s="290">
        <v>0</v>
      </c>
      <c r="F6" s="1">
        <f>SUM(D6:E6)</f>
        <v>20</v>
      </c>
      <c r="G6" s="3">
        <f>F6*$D$2</f>
        <v>42000</v>
      </c>
      <c r="I6" s="285"/>
      <c r="J6" s="1">
        <f>I6*$D$2</f>
        <v>0</v>
      </c>
      <c r="K6" s="1">
        <f>I6/5</f>
        <v>0</v>
      </c>
    </row>
    <row r="7" spans="1:11" x14ac:dyDescent="0.25">
      <c r="A7" s="139" t="s">
        <v>136</v>
      </c>
      <c r="B7" s="64">
        <v>10</v>
      </c>
      <c r="C7" s="64">
        <f>B7*4</f>
        <v>40</v>
      </c>
      <c r="D7" s="285">
        <v>20</v>
      </c>
      <c r="E7" s="285">
        <v>20</v>
      </c>
      <c r="F7" s="1">
        <f t="shared" ref="F7:F61" si="0">SUM(D7:E7)</f>
        <v>40</v>
      </c>
      <c r="G7" s="3">
        <f t="shared" ref="G7:G61" si="1">F7*$D$2</f>
        <v>84000</v>
      </c>
      <c r="I7" s="285"/>
      <c r="J7" s="1">
        <f t="shared" ref="J7:J61" si="2">I7*$D$2</f>
        <v>0</v>
      </c>
      <c r="K7" s="1">
        <f t="shared" ref="K7:K61" si="3">I7/5</f>
        <v>0</v>
      </c>
    </row>
    <row r="8" spans="1:11" x14ac:dyDescent="0.25">
      <c r="A8" s="139" t="s">
        <v>137</v>
      </c>
      <c r="B8" s="64">
        <v>10</v>
      </c>
      <c r="C8" s="64">
        <f t="shared" ref="C8:C36" si="4">B8*2</f>
        <v>20</v>
      </c>
      <c r="D8" s="285">
        <v>20</v>
      </c>
      <c r="E8" s="285"/>
      <c r="F8" s="1">
        <f t="shared" si="0"/>
        <v>20</v>
      </c>
      <c r="G8" s="3">
        <f t="shared" si="1"/>
        <v>42000</v>
      </c>
      <c r="I8" s="285"/>
      <c r="J8" s="1">
        <f t="shared" si="2"/>
        <v>0</v>
      </c>
      <c r="K8" s="1">
        <f t="shared" si="3"/>
        <v>0</v>
      </c>
    </row>
    <row r="9" spans="1:11" x14ac:dyDescent="0.25">
      <c r="A9" s="139" t="s">
        <v>138</v>
      </c>
      <c r="B9" s="64">
        <v>10</v>
      </c>
      <c r="C9" s="64">
        <f t="shared" si="4"/>
        <v>20</v>
      </c>
      <c r="D9" s="285">
        <v>20</v>
      </c>
      <c r="E9" s="285"/>
      <c r="F9" s="1">
        <f t="shared" si="0"/>
        <v>20</v>
      </c>
      <c r="G9" s="3">
        <f t="shared" si="1"/>
        <v>42000</v>
      </c>
      <c r="I9" s="285"/>
      <c r="J9" s="1">
        <f t="shared" si="2"/>
        <v>0</v>
      </c>
      <c r="K9" s="1">
        <f t="shared" si="3"/>
        <v>0</v>
      </c>
    </row>
    <row r="10" spans="1:11" x14ac:dyDescent="0.25">
      <c r="A10" s="139" t="s">
        <v>139</v>
      </c>
      <c r="B10" s="64">
        <v>10</v>
      </c>
      <c r="C10" s="64">
        <f t="shared" si="4"/>
        <v>20</v>
      </c>
      <c r="D10" s="285">
        <v>20</v>
      </c>
      <c r="E10" s="285"/>
      <c r="F10" s="1">
        <f t="shared" si="0"/>
        <v>20</v>
      </c>
      <c r="G10" s="3">
        <f t="shared" si="1"/>
        <v>42000</v>
      </c>
      <c r="I10" s="285"/>
      <c r="J10" s="1">
        <f t="shared" si="2"/>
        <v>0</v>
      </c>
      <c r="K10" s="1">
        <f t="shared" si="3"/>
        <v>0</v>
      </c>
    </row>
    <row r="11" spans="1:11" x14ac:dyDescent="0.25">
      <c r="A11" s="139" t="s">
        <v>140</v>
      </c>
      <c r="B11" s="64">
        <v>10</v>
      </c>
      <c r="C11" s="64">
        <f t="shared" si="4"/>
        <v>20</v>
      </c>
      <c r="D11" s="285">
        <v>20</v>
      </c>
      <c r="E11" s="285"/>
      <c r="F11" s="1">
        <f t="shared" si="0"/>
        <v>20</v>
      </c>
      <c r="G11" s="3">
        <f t="shared" si="1"/>
        <v>42000</v>
      </c>
      <c r="I11" s="285"/>
      <c r="J11" s="1">
        <f t="shared" si="2"/>
        <v>0</v>
      </c>
      <c r="K11" s="1">
        <f t="shared" si="3"/>
        <v>0</v>
      </c>
    </row>
    <row r="12" spans="1:11" x14ac:dyDescent="0.25">
      <c r="A12" s="139" t="s">
        <v>141</v>
      </c>
      <c r="B12" s="88">
        <v>10</v>
      </c>
      <c r="C12" s="88">
        <f t="shared" si="4"/>
        <v>20</v>
      </c>
      <c r="D12" s="290">
        <v>20</v>
      </c>
      <c r="E12" s="290"/>
      <c r="F12" s="222">
        <f t="shared" si="0"/>
        <v>20</v>
      </c>
      <c r="G12" s="3">
        <f t="shared" si="1"/>
        <v>42000</v>
      </c>
      <c r="I12" s="285"/>
      <c r="J12" s="1">
        <f t="shared" si="2"/>
        <v>0</v>
      </c>
      <c r="K12" s="1">
        <f t="shared" si="3"/>
        <v>0</v>
      </c>
    </row>
    <row r="13" spans="1:11" x14ac:dyDescent="0.25">
      <c r="A13" s="139" t="s">
        <v>142</v>
      </c>
      <c r="B13" s="88">
        <v>10</v>
      </c>
      <c r="C13" s="88">
        <f t="shared" si="4"/>
        <v>20</v>
      </c>
      <c r="D13" s="290">
        <v>4</v>
      </c>
      <c r="E13" s="290"/>
      <c r="F13" s="222">
        <f t="shared" si="0"/>
        <v>4</v>
      </c>
      <c r="G13" s="3">
        <f t="shared" si="1"/>
        <v>8400</v>
      </c>
      <c r="I13" s="285"/>
      <c r="J13" s="1">
        <f t="shared" si="2"/>
        <v>0</v>
      </c>
      <c r="K13" s="1">
        <f t="shared" si="3"/>
        <v>0</v>
      </c>
    </row>
    <row r="14" spans="1:11" x14ac:dyDescent="0.25">
      <c r="A14" s="139" t="s">
        <v>143</v>
      </c>
      <c r="B14" s="88">
        <v>10</v>
      </c>
      <c r="C14" s="88">
        <f t="shared" si="4"/>
        <v>20</v>
      </c>
      <c r="D14" s="290">
        <v>20</v>
      </c>
      <c r="E14" s="290"/>
      <c r="F14" s="222">
        <f t="shared" si="0"/>
        <v>20</v>
      </c>
      <c r="G14" s="3">
        <f t="shared" si="1"/>
        <v>42000</v>
      </c>
      <c r="I14" s="285"/>
      <c r="J14" s="1">
        <f t="shared" si="2"/>
        <v>0</v>
      </c>
      <c r="K14" s="1">
        <f t="shared" si="3"/>
        <v>0</v>
      </c>
    </row>
    <row r="15" spans="1:11" x14ac:dyDescent="0.25">
      <c r="A15" s="139" t="s">
        <v>144</v>
      </c>
      <c r="B15" s="88">
        <v>10</v>
      </c>
      <c r="C15" s="88">
        <f t="shared" si="4"/>
        <v>20</v>
      </c>
      <c r="D15" s="290">
        <v>20</v>
      </c>
      <c r="E15" s="290"/>
      <c r="F15" s="222">
        <f t="shared" si="0"/>
        <v>20</v>
      </c>
      <c r="G15" s="3">
        <f t="shared" si="1"/>
        <v>42000</v>
      </c>
      <c r="I15" s="285"/>
      <c r="J15" s="1">
        <f t="shared" si="2"/>
        <v>0</v>
      </c>
      <c r="K15" s="1">
        <f t="shared" si="3"/>
        <v>0</v>
      </c>
    </row>
    <row r="16" spans="1:11" x14ac:dyDescent="0.25">
      <c r="A16" s="139" t="s">
        <v>145</v>
      </c>
      <c r="B16" s="88">
        <v>10</v>
      </c>
      <c r="C16" s="88">
        <f t="shared" si="4"/>
        <v>20</v>
      </c>
      <c r="D16" s="290">
        <v>4</v>
      </c>
      <c r="E16" s="290"/>
      <c r="F16" s="222">
        <f t="shared" si="0"/>
        <v>4</v>
      </c>
      <c r="G16" s="3">
        <f t="shared" si="1"/>
        <v>8400</v>
      </c>
      <c r="I16" s="285"/>
      <c r="J16" s="1">
        <f t="shared" si="2"/>
        <v>0</v>
      </c>
      <c r="K16" s="1">
        <f t="shared" si="3"/>
        <v>0</v>
      </c>
    </row>
    <row r="17" spans="1:11" x14ac:dyDescent="0.25">
      <c r="A17" s="139" t="s">
        <v>201</v>
      </c>
      <c r="B17" s="88">
        <v>10</v>
      </c>
      <c r="C17" s="88">
        <f t="shared" si="4"/>
        <v>20</v>
      </c>
      <c r="D17" s="290">
        <v>0</v>
      </c>
      <c r="E17" s="290"/>
      <c r="F17" s="222">
        <f t="shared" si="0"/>
        <v>0</v>
      </c>
      <c r="G17" s="3">
        <f t="shared" si="1"/>
        <v>0</v>
      </c>
      <c r="I17" s="285"/>
      <c r="J17" s="1">
        <f t="shared" si="2"/>
        <v>0</v>
      </c>
      <c r="K17" s="1">
        <f t="shared" si="3"/>
        <v>0</v>
      </c>
    </row>
    <row r="18" spans="1:11" x14ac:dyDescent="0.25">
      <c r="A18" s="139" t="s">
        <v>146</v>
      </c>
      <c r="B18" s="88">
        <v>10</v>
      </c>
      <c r="C18" s="88">
        <f t="shared" si="4"/>
        <v>20</v>
      </c>
      <c r="D18" s="290">
        <v>20</v>
      </c>
      <c r="E18" s="290"/>
      <c r="F18" s="222">
        <f t="shared" si="0"/>
        <v>20</v>
      </c>
      <c r="G18" s="3">
        <f t="shared" si="1"/>
        <v>42000</v>
      </c>
      <c r="I18" s="285"/>
      <c r="J18" s="1">
        <f t="shared" si="2"/>
        <v>0</v>
      </c>
      <c r="K18" s="1">
        <f t="shared" si="3"/>
        <v>0</v>
      </c>
    </row>
    <row r="19" spans="1:11" x14ac:dyDescent="0.25">
      <c r="A19" s="139" t="s">
        <v>147</v>
      </c>
      <c r="B19" s="88">
        <v>10</v>
      </c>
      <c r="C19" s="88">
        <f t="shared" si="4"/>
        <v>20</v>
      </c>
      <c r="D19" s="290">
        <v>20</v>
      </c>
      <c r="E19" s="290"/>
      <c r="F19" s="222">
        <f t="shared" si="0"/>
        <v>20</v>
      </c>
      <c r="G19" s="3">
        <f t="shared" si="1"/>
        <v>42000</v>
      </c>
      <c r="I19" s="285"/>
      <c r="J19" s="1">
        <f t="shared" si="2"/>
        <v>0</v>
      </c>
      <c r="K19" s="1">
        <f t="shared" si="3"/>
        <v>0</v>
      </c>
    </row>
    <row r="20" spans="1:11" x14ac:dyDescent="0.25">
      <c r="A20" s="139" t="s">
        <v>148</v>
      </c>
      <c r="B20" s="88">
        <v>10</v>
      </c>
      <c r="C20" s="88">
        <f t="shared" si="4"/>
        <v>20</v>
      </c>
      <c r="D20" s="290">
        <v>20</v>
      </c>
      <c r="E20" s="290">
        <v>20</v>
      </c>
      <c r="F20" s="222">
        <f t="shared" si="0"/>
        <v>40</v>
      </c>
      <c r="G20" s="3">
        <f t="shared" si="1"/>
        <v>84000</v>
      </c>
      <c r="I20" s="285"/>
      <c r="J20" s="1">
        <f t="shared" si="2"/>
        <v>0</v>
      </c>
      <c r="K20" s="1">
        <f t="shared" si="3"/>
        <v>0</v>
      </c>
    </row>
    <row r="21" spans="1:11" ht="18.75" customHeight="1" x14ac:dyDescent="0.25">
      <c r="A21" s="139" t="s">
        <v>149</v>
      </c>
      <c r="B21" s="88">
        <v>10</v>
      </c>
      <c r="C21" s="88">
        <f t="shared" si="4"/>
        <v>20</v>
      </c>
      <c r="D21" s="290">
        <v>0</v>
      </c>
      <c r="E21" s="290"/>
      <c r="F21" s="222">
        <f t="shared" si="0"/>
        <v>0</v>
      </c>
      <c r="G21" s="3">
        <f t="shared" si="1"/>
        <v>0</v>
      </c>
      <c r="I21" s="285"/>
      <c r="J21" s="1">
        <f t="shared" si="2"/>
        <v>0</v>
      </c>
      <c r="K21" s="1">
        <f t="shared" si="3"/>
        <v>0</v>
      </c>
    </row>
    <row r="22" spans="1:11" ht="19.5" customHeight="1" x14ac:dyDescent="0.25">
      <c r="A22" s="139" t="s">
        <v>150</v>
      </c>
      <c r="B22" s="88">
        <v>10</v>
      </c>
      <c r="C22" s="88">
        <f t="shared" si="4"/>
        <v>20</v>
      </c>
      <c r="D22" s="290"/>
      <c r="E22" s="290">
        <v>20</v>
      </c>
      <c r="F22" s="222">
        <f t="shared" si="0"/>
        <v>20</v>
      </c>
      <c r="G22" s="3">
        <f t="shared" si="1"/>
        <v>42000</v>
      </c>
      <c r="I22" s="285"/>
      <c r="J22" s="1">
        <f t="shared" si="2"/>
        <v>0</v>
      </c>
      <c r="K22" s="1">
        <f t="shared" si="3"/>
        <v>0</v>
      </c>
    </row>
    <row r="23" spans="1:11" x14ac:dyDescent="0.25">
      <c r="A23" s="139" t="s">
        <v>151</v>
      </c>
      <c r="B23" s="88">
        <v>10</v>
      </c>
      <c r="C23" s="88">
        <f t="shared" si="4"/>
        <v>20</v>
      </c>
      <c r="D23" s="290"/>
      <c r="E23" s="290">
        <v>20</v>
      </c>
      <c r="F23" s="222">
        <f t="shared" si="0"/>
        <v>20</v>
      </c>
      <c r="G23" s="3">
        <f t="shared" si="1"/>
        <v>42000</v>
      </c>
      <c r="I23" s="285"/>
      <c r="J23" s="1">
        <f t="shared" si="2"/>
        <v>0</v>
      </c>
      <c r="K23" s="1">
        <f t="shared" si="3"/>
        <v>0</v>
      </c>
    </row>
    <row r="24" spans="1:11" x14ac:dyDescent="0.25">
      <c r="A24" s="139" t="s">
        <v>152</v>
      </c>
      <c r="B24" s="88">
        <v>10</v>
      </c>
      <c r="C24" s="88">
        <f t="shared" si="4"/>
        <v>20</v>
      </c>
      <c r="D24" s="290"/>
      <c r="E24" s="290">
        <v>24</v>
      </c>
      <c r="F24" s="222">
        <f t="shared" si="0"/>
        <v>24</v>
      </c>
      <c r="G24" s="3">
        <f t="shared" si="1"/>
        <v>50400</v>
      </c>
      <c r="I24" s="285"/>
      <c r="J24" s="1">
        <f t="shared" si="2"/>
        <v>0</v>
      </c>
      <c r="K24" s="1">
        <f t="shared" si="3"/>
        <v>0</v>
      </c>
    </row>
    <row r="25" spans="1:11" x14ac:dyDescent="0.25">
      <c r="A25" s="139" t="s">
        <v>153</v>
      </c>
      <c r="B25" s="88">
        <v>10</v>
      </c>
      <c r="C25" s="88">
        <f t="shared" si="4"/>
        <v>20</v>
      </c>
      <c r="D25" s="290"/>
      <c r="E25" s="290">
        <v>20</v>
      </c>
      <c r="F25" s="222">
        <f t="shared" si="0"/>
        <v>20</v>
      </c>
      <c r="G25" s="3">
        <f t="shared" si="1"/>
        <v>42000</v>
      </c>
      <c r="I25" s="285"/>
      <c r="J25" s="1">
        <f t="shared" si="2"/>
        <v>0</v>
      </c>
      <c r="K25" s="1">
        <f t="shared" si="3"/>
        <v>0</v>
      </c>
    </row>
    <row r="26" spans="1:11" x14ac:dyDescent="0.25">
      <c r="A26" s="139" t="s">
        <v>247</v>
      </c>
      <c r="B26" s="88">
        <v>10</v>
      </c>
      <c r="C26" s="88">
        <f>B26*2</f>
        <v>20</v>
      </c>
      <c r="D26" s="290"/>
      <c r="E26" s="290">
        <v>20</v>
      </c>
      <c r="F26" s="222">
        <f>SUM(D26:E26)</f>
        <v>20</v>
      </c>
      <c r="G26" s="3">
        <f>F26*$D$2</f>
        <v>42000</v>
      </c>
      <c r="I26" s="285"/>
      <c r="J26" s="1"/>
      <c r="K26" s="1"/>
    </row>
    <row r="27" spans="1:11" x14ac:dyDescent="0.25">
      <c r="A27" s="139" t="s">
        <v>202</v>
      </c>
      <c r="B27" s="88">
        <v>10</v>
      </c>
      <c r="C27" s="88">
        <f t="shared" si="4"/>
        <v>20</v>
      </c>
      <c r="D27" s="290">
        <v>0</v>
      </c>
      <c r="E27" s="290">
        <v>0</v>
      </c>
      <c r="F27" s="222">
        <f t="shared" si="0"/>
        <v>0</v>
      </c>
      <c r="G27" s="3">
        <f t="shared" si="1"/>
        <v>0</v>
      </c>
      <c r="I27" s="285"/>
      <c r="J27" s="1">
        <f t="shared" si="2"/>
        <v>0</v>
      </c>
      <c r="K27" s="1">
        <f t="shared" si="3"/>
        <v>0</v>
      </c>
    </row>
    <row r="28" spans="1:11" x14ac:dyDescent="0.25">
      <c r="A28" s="139" t="s">
        <v>154</v>
      </c>
      <c r="B28" s="88">
        <v>10</v>
      </c>
      <c r="C28" s="88">
        <f t="shared" si="4"/>
        <v>20</v>
      </c>
      <c r="D28" s="290"/>
      <c r="E28" s="290">
        <v>20</v>
      </c>
      <c r="F28" s="222">
        <f t="shared" si="0"/>
        <v>20</v>
      </c>
      <c r="G28" s="3">
        <f t="shared" si="1"/>
        <v>42000</v>
      </c>
      <c r="I28" s="285"/>
      <c r="J28" s="1">
        <f t="shared" si="2"/>
        <v>0</v>
      </c>
      <c r="K28" s="1">
        <f t="shared" si="3"/>
        <v>0</v>
      </c>
    </row>
    <row r="29" spans="1:11" x14ac:dyDescent="0.25">
      <c r="A29" s="139" t="s">
        <v>155</v>
      </c>
      <c r="B29" s="88">
        <v>10</v>
      </c>
      <c r="C29" s="88">
        <f t="shared" si="4"/>
        <v>20</v>
      </c>
      <c r="D29" s="290"/>
      <c r="E29" s="290">
        <v>20</v>
      </c>
      <c r="F29" s="222">
        <f t="shared" si="0"/>
        <v>20</v>
      </c>
      <c r="G29" s="3">
        <f t="shared" si="1"/>
        <v>42000</v>
      </c>
      <c r="I29" s="285"/>
      <c r="J29" s="1">
        <f t="shared" si="2"/>
        <v>0</v>
      </c>
      <c r="K29" s="1">
        <f t="shared" si="3"/>
        <v>0</v>
      </c>
    </row>
    <row r="30" spans="1:11" x14ac:dyDescent="0.25">
      <c r="A30" s="139" t="s">
        <v>246</v>
      </c>
      <c r="B30" s="88">
        <v>10</v>
      </c>
      <c r="C30" s="88">
        <f>B30*2</f>
        <v>20</v>
      </c>
      <c r="D30" s="290"/>
      <c r="E30" s="290">
        <v>20</v>
      </c>
      <c r="F30" s="222">
        <f>SUM(D30:E30)</f>
        <v>20</v>
      </c>
      <c r="G30" s="3">
        <f>F30*$D$2</f>
        <v>42000</v>
      </c>
      <c r="I30" s="285"/>
      <c r="J30" s="1"/>
      <c r="K30" s="1"/>
    </row>
    <row r="31" spans="1:11" x14ac:dyDescent="0.25">
      <c r="A31" s="139" t="s">
        <v>156</v>
      </c>
      <c r="B31" s="88">
        <v>10</v>
      </c>
      <c r="C31" s="88">
        <f t="shared" si="4"/>
        <v>20</v>
      </c>
      <c r="D31" s="290"/>
      <c r="E31" s="290">
        <v>0</v>
      </c>
      <c r="F31" s="222">
        <f t="shared" si="0"/>
        <v>0</v>
      </c>
      <c r="G31" s="3">
        <f t="shared" si="1"/>
        <v>0</v>
      </c>
      <c r="I31" s="285"/>
      <c r="J31" s="1">
        <f t="shared" si="2"/>
        <v>0</v>
      </c>
      <c r="K31" s="1">
        <f t="shared" si="3"/>
        <v>0</v>
      </c>
    </row>
    <row r="32" spans="1:11" x14ac:dyDescent="0.25">
      <c r="A32" s="139" t="s">
        <v>157</v>
      </c>
      <c r="B32" s="88">
        <v>10</v>
      </c>
      <c r="C32" s="88">
        <f t="shared" si="4"/>
        <v>20</v>
      </c>
      <c r="D32" s="290"/>
      <c r="E32" s="290">
        <v>0</v>
      </c>
      <c r="F32" s="222">
        <f t="shared" si="0"/>
        <v>0</v>
      </c>
      <c r="G32" s="3">
        <f t="shared" si="1"/>
        <v>0</v>
      </c>
      <c r="I32" s="285"/>
      <c r="J32" s="1">
        <f t="shared" si="2"/>
        <v>0</v>
      </c>
      <c r="K32" s="1">
        <f t="shared" si="3"/>
        <v>0</v>
      </c>
    </row>
    <row r="33" spans="1:11" x14ac:dyDescent="0.25">
      <c r="A33" s="139" t="s">
        <v>158</v>
      </c>
      <c r="B33" s="88">
        <v>10</v>
      </c>
      <c r="C33" s="88">
        <f t="shared" si="4"/>
        <v>20</v>
      </c>
      <c r="D33" s="290"/>
      <c r="E33" s="290">
        <v>20</v>
      </c>
      <c r="F33" s="222">
        <f t="shared" si="0"/>
        <v>20</v>
      </c>
      <c r="G33" s="3">
        <f t="shared" si="1"/>
        <v>42000</v>
      </c>
      <c r="I33" s="285"/>
      <c r="J33" s="1">
        <f t="shared" si="2"/>
        <v>0</v>
      </c>
      <c r="K33" s="1">
        <f t="shared" si="3"/>
        <v>0</v>
      </c>
    </row>
    <row r="34" spans="1:11" x14ac:dyDescent="0.25">
      <c r="A34" s="139" t="s">
        <v>159</v>
      </c>
      <c r="B34" s="88">
        <v>10</v>
      </c>
      <c r="C34" s="88">
        <f t="shared" si="4"/>
        <v>20</v>
      </c>
      <c r="D34" s="290"/>
      <c r="E34" s="290">
        <v>0</v>
      </c>
      <c r="F34" s="222">
        <f t="shared" si="0"/>
        <v>0</v>
      </c>
      <c r="G34" s="3">
        <f t="shared" si="1"/>
        <v>0</v>
      </c>
      <c r="I34" s="285"/>
      <c r="J34" s="1">
        <f t="shared" si="2"/>
        <v>0</v>
      </c>
      <c r="K34" s="1">
        <f t="shared" si="3"/>
        <v>0</v>
      </c>
    </row>
    <row r="35" spans="1:11" x14ac:dyDescent="0.25">
      <c r="A35" s="139" t="s">
        <v>135</v>
      </c>
      <c r="B35" s="88">
        <v>10</v>
      </c>
      <c r="C35" s="88">
        <f t="shared" si="4"/>
        <v>20</v>
      </c>
      <c r="D35" s="290">
        <v>20</v>
      </c>
      <c r="E35" s="290">
        <v>0</v>
      </c>
      <c r="F35" s="222">
        <f t="shared" si="0"/>
        <v>20</v>
      </c>
      <c r="G35" s="3">
        <f t="shared" si="1"/>
        <v>42000</v>
      </c>
      <c r="I35" s="285"/>
      <c r="J35" s="1">
        <f t="shared" si="2"/>
        <v>0</v>
      </c>
      <c r="K35" s="1">
        <f t="shared" si="3"/>
        <v>0</v>
      </c>
    </row>
    <row r="36" spans="1:11" x14ac:dyDescent="0.25">
      <c r="A36" s="139" t="s">
        <v>148</v>
      </c>
      <c r="B36" s="88">
        <v>10</v>
      </c>
      <c r="C36" s="88">
        <f t="shared" si="4"/>
        <v>20</v>
      </c>
      <c r="D36" s="290"/>
      <c r="E36" s="290">
        <v>20</v>
      </c>
      <c r="F36" s="222">
        <f t="shared" si="0"/>
        <v>20</v>
      </c>
      <c r="G36" s="3">
        <f t="shared" si="1"/>
        <v>42000</v>
      </c>
      <c r="I36" s="285"/>
      <c r="J36" s="1">
        <f t="shared" si="2"/>
        <v>0</v>
      </c>
      <c r="K36" s="1">
        <f t="shared" si="3"/>
        <v>0</v>
      </c>
    </row>
    <row r="37" spans="1:11" x14ac:dyDescent="0.25">
      <c r="A37" s="139" t="s">
        <v>312</v>
      </c>
      <c r="B37" s="88">
        <v>10</v>
      </c>
      <c r="C37" s="88">
        <f>B37*2</f>
        <v>20</v>
      </c>
      <c r="D37" s="290">
        <v>4</v>
      </c>
      <c r="E37" s="290"/>
      <c r="F37" s="222">
        <f>SUM(D37:E37)</f>
        <v>4</v>
      </c>
      <c r="G37" s="3">
        <f>F37*$D$2</f>
        <v>8400</v>
      </c>
      <c r="I37" s="285"/>
      <c r="J37" s="1">
        <f>I37*$D$2</f>
        <v>0</v>
      </c>
      <c r="K37" s="1">
        <f>I37/5</f>
        <v>0</v>
      </c>
    </row>
    <row r="38" spans="1:11" x14ac:dyDescent="0.25">
      <c r="A38" s="139" t="s">
        <v>313</v>
      </c>
      <c r="B38" s="88">
        <v>10</v>
      </c>
      <c r="C38" s="88">
        <f>B38*2</f>
        <v>20</v>
      </c>
      <c r="D38" s="290">
        <v>24</v>
      </c>
      <c r="E38" s="290"/>
      <c r="F38" s="222">
        <f>SUM(D38:E38)</f>
        <v>24</v>
      </c>
      <c r="G38" s="3">
        <f>F38*$D$2</f>
        <v>50400</v>
      </c>
      <c r="I38" s="285"/>
      <c r="J38" s="1">
        <f>I38*$D$2</f>
        <v>0</v>
      </c>
      <c r="K38" s="1">
        <f>I38/5</f>
        <v>0</v>
      </c>
    </row>
    <row r="39" spans="1:11" x14ac:dyDescent="0.25">
      <c r="A39" s="139" t="s">
        <v>314</v>
      </c>
      <c r="B39" s="88">
        <v>10</v>
      </c>
      <c r="C39" s="88">
        <f>B39*2</f>
        <v>20</v>
      </c>
      <c r="D39" s="290"/>
      <c r="E39" s="290">
        <v>20</v>
      </c>
      <c r="F39" s="222">
        <f>SUM(D39:E39)</f>
        <v>20</v>
      </c>
      <c r="G39" s="3">
        <f>F39*$D$2</f>
        <v>42000</v>
      </c>
      <c r="I39" s="285"/>
      <c r="J39" s="1">
        <f>I39*$D$2</f>
        <v>0</v>
      </c>
      <c r="K39" s="1">
        <f>I39/5</f>
        <v>0</v>
      </c>
    </row>
    <row r="40" spans="1:11" x14ac:dyDescent="0.25">
      <c r="A40" s="139" t="s">
        <v>329</v>
      </c>
      <c r="B40" s="88">
        <v>10</v>
      </c>
      <c r="C40" s="88">
        <v>30</v>
      </c>
      <c r="D40" s="290"/>
      <c r="E40" s="290">
        <v>30</v>
      </c>
      <c r="F40" s="222">
        <f>SUM(D40:E40)</f>
        <v>30</v>
      </c>
      <c r="G40" s="3">
        <f>F40*$D$2</f>
        <v>63000</v>
      </c>
      <c r="I40" s="285"/>
      <c r="J40" s="1"/>
      <c r="K40" s="1"/>
    </row>
    <row r="41" spans="1:11" x14ac:dyDescent="0.25">
      <c r="A41" s="139" t="s">
        <v>315</v>
      </c>
      <c r="B41" s="88">
        <v>10</v>
      </c>
      <c r="C41" s="88">
        <f>B41*2</f>
        <v>20</v>
      </c>
      <c r="D41" s="290"/>
      <c r="E41" s="290">
        <v>20</v>
      </c>
      <c r="F41" s="222">
        <f>SUM(D41:E41)</f>
        <v>20</v>
      </c>
      <c r="G41" s="3">
        <f>F41*$D$2</f>
        <v>42000</v>
      </c>
      <c r="I41" s="285"/>
      <c r="J41" s="1">
        <f>I41*$D$2</f>
        <v>0</v>
      </c>
      <c r="K41" s="1">
        <f>I41/5</f>
        <v>0</v>
      </c>
    </row>
    <row r="42" spans="1:11" x14ac:dyDescent="0.25">
      <c r="A42" s="151" t="s">
        <v>160</v>
      </c>
      <c r="B42" s="88"/>
      <c r="C42" s="88"/>
      <c r="D42" s="290"/>
      <c r="E42" s="290"/>
      <c r="F42" s="222"/>
      <c r="G42" s="3"/>
      <c r="I42" s="285"/>
      <c r="J42" s="1">
        <f t="shared" si="2"/>
        <v>0</v>
      </c>
      <c r="K42" s="1">
        <f t="shared" si="3"/>
        <v>0</v>
      </c>
    </row>
    <row r="43" spans="1:11" x14ac:dyDescent="0.25">
      <c r="A43" s="139" t="s">
        <v>161</v>
      </c>
      <c r="B43" s="88">
        <v>10</v>
      </c>
      <c r="C43" s="88">
        <f>B43*4</f>
        <v>40</v>
      </c>
      <c r="D43" s="290">
        <v>22</v>
      </c>
      <c r="E43" s="290"/>
      <c r="F43" s="222">
        <f t="shared" si="0"/>
        <v>22</v>
      </c>
      <c r="G43" s="3">
        <f t="shared" si="1"/>
        <v>46200</v>
      </c>
      <c r="I43" s="285"/>
      <c r="J43" s="1">
        <f t="shared" si="2"/>
        <v>0</v>
      </c>
      <c r="K43" s="1">
        <f t="shared" si="3"/>
        <v>0</v>
      </c>
    </row>
    <row r="44" spans="1:11" x14ac:dyDescent="0.25">
      <c r="A44" s="139" t="s">
        <v>203</v>
      </c>
      <c r="B44" s="88">
        <v>10</v>
      </c>
      <c r="C44" s="88">
        <f t="shared" ref="C44:C72" si="5">B44*2</f>
        <v>20</v>
      </c>
      <c r="D44" s="290">
        <v>22</v>
      </c>
      <c r="E44" s="290"/>
      <c r="F44" s="222">
        <f t="shared" si="0"/>
        <v>22</v>
      </c>
      <c r="G44" s="3">
        <f t="shared" si="1"/>
        <v>46200</v>
      </c>
      <c r="I44" s="285"/>
      <c r="J44" s="1">
        <f t="shared" si="2"/>
        <v>0</v>
      </c>
      <c r="K44" s="1">
        <f t="shared" si="3"/>
        <v>0</v>
      </c>
    </row>
    <row r="45" spans="1:11" ht="30" x14ac:dyDescent="0.25">
      <c r="A45" s="139" t="s">
        <v>340</v>
      </c>
      <c r="B45" s="88">
        <v>10</v>
      </c>
      <c r="C45" s="88">
        <f t="shared" si="5"/>
        <v>20</v>
      </c>
      <c r="D45" s="290">
        <v>22</v>
      </c>
      <c r="E45" s="290"/>
      <c r="F45" s="222">
        <f t="shared" si="0"/>
        <v>22</v>
      </c>
      <c r="G45" s="3">
        <f t="shared" si="1"/>
        <v>46200</v>
      </c>
      <c r="I45" s="285"/>
      <c r="J45" s="1">
        <f t="shared" si="2"/>
        <v>0</v>
      </c>
      <c r="K45" s="1">
        <f t="shared" si="3"/>
        <v>0</v>
      </c>
    </row>
    <row r="46" spans="1:11" x14ac:dyDescent="0.25">
      <c r="A46" s="139" t="s">
        <v>326</v>
      </c>
      <c r="B46" s="88">
        <v>10</v>
      </c>
      <c r="C46" s="88">
        <f t="shared" si="5"/>
        <v>20</v>
      </c>
      <c r="D46" s="290">
        <v>22</v>
      </c>
      <c r="E46" s="290"/>
      <c r="F46" s="222">
        <f t="shared" si="0"/>
        <v>22</v>
      </c>
      <c r="G46" s="3">
        <f t="shared" si="1"/>
        <v>46200</v>
      </c>
      <c r="I46" s="285"/>
      <c r="J46" s="1">
        <f t="shared" si="2"/>
        <v>0</v>
      </c>
      <c r="K46" s="1">
        <f t="shared" si="3"/>
        <v>0</v>
      </c>
    </row>
    <row r="47" spans="1:11" ht="45" x14ac:dyDescent="0.25">
      <c r="A47" s="139" t="s">
        <v>357</v>
      </c>
      <c r="B47" s="88">
        <v>10</v>
      </c>
      <c r="C47" s="88">
        <v>20</v>
      </c>
      <c r="D47" s="290"/>
      <c r="E47" s="290">
        <v>0</v>
      </c>
      <c r="F47" s="222">
        <f t="shared" si="0"/>
        <v>0</v>
      </c>
      <c r="G47" s="3">
        <f t="shared" si="1"/>
        <v>0</v>
      </c>
      <c r="I47" s="285"/>
      <c r="J47" s="1">
        <f t="shared" si="2"/>
        <v>0</v>
      </c>
      <c r="K47" s="1"/>
    </row>
    <row r="48" spans="1:11" ht="30" x14ac:dyDescent="0.25">
      <c r="A48" s="139" t="s">
        <v>358</v>
      </c>
      <c r="B48" s="88">
        <v>10</v>
      </c>
      <c r="C48" s="88">
        <v>20</v>
      </c>
      <c r="D48" s="290"/>
      <c r="E48" s="290">
        <v>22</v>
      </c>
      <c r="F48" s="222">
        <f t="shared" si="0"/>
        <v>22</v>
      </c>
      <c r="G48" s="3">
        <f t="shared" si="1"/>
        <v>46200</v>
      </c>
      <c r="I48" s="285"/>
      <c r="J48" s="1">
        <f t="shared" si="2"/>
        <v>0</v>
      </c>
      <c r="K48" s="1"/>
    </row>
    <row r="49" spans="1:11" ht="30" x14ac:dyDescent="0.25">
      <c r="A49" s="139" t="s">
        <v>162</v>
      </c>
      <c r="B49" s="88">
        <v>10</v>
      </c>
      <c r="C49" s="88">
        <f t="shared" si="5"/>
        <v>20</v>
      </c>
      <c r="D49" s="290">
        <v>0</v>
      </c>
      <c r="E49" s="290">
        <v>22</v>
      </c>
      <c r="F49" s="222">
        <f t="shared" si="0"/>
        <v>22</v>
      </c>
      <c r="G49" s="3">
        <f t="shared" si="1"/>
        <v>46200</v>
      </c>
      <c r="I49" s="285"/>
      <c r="J49" s="1">
        <f t="shared" si="2"/>
        <v>0</v>
      </c>
      <c r="K49" s="1">
        <f t="shared" si="3"/>
        <v>0</v>
      </c>
    </row>
    <row r="50" spans="1:11" x14ac:dyDescent="0.25">
      <c r="A50" s="139" t="s">
        <v>163</v>
      </c>
      <c r="B50" s="88">
        <v>10</v>
      </c>
      <c r="C50" s="88">
        <f t="shared" si="5"/>
        <v>20</v>
      </c>
      <c r="D50" s="290">
        <v>22</v>
      </c>
      <c r="E50" s="290"/>
      <c r="F50" s="222">
        <f t="shared" si="0"/>
        <v>22</v>
      </c>
      <c r="G50" s="3">
        <f t="shared" si="1"/>
        <v>46200</v>
      </c>
      <c r="I50" s="285"/>
      <c r="J50" s="1">
        <f t="shared" si="2"/>
        <v>0</v>
      </c>
      <c r="K50" s="1">
        <f t="shared" si="3"/>
        <v>0</v>
      </c>
    </row>
    <row r="51" spans="1:11" ht="30" x14ac:dyDescent="0.25">
      <c r="A51" s="139" t="s">
        <v>172</v>
      </c>
      <c r="B51" s="88">
        <v>10</v>
      </c>
      <c r="C51" s="88">
        <f t="shared" si="5"/>
        <v>20</v>
      </c>
      <c r="D51" s="290">
        <v>22</v>
      </c>
      <c r="E51" s="290"/>
      <c r="F51" s="222">
        <f t="shared" si="0"/>
        <v>22</v>
      </c>
      <c r="G51" s="3">
        <f t="shared" si="1"/>
        <v>46200</v>
      </c>
      <c r="I51" s="285"/>
      <c r="J51" s="1">
        <f>I51*$D$2</f>
        <v>0</v>
      </c>
      <c r="K51" s="1"/>
    </row>
    <row r="52" spans="1:11" x14ac:dyDescent="0.25">
      <c r="A52" s="139" t="s">
        <v>164</v>
      </c>
      <c r="B52" s="88">
        <v>10</v>
      </c>
      <c r="C52" s="88">
        <f t="shared" si="5"/>
        <v>20</v>
      </c>
      <c r="D52" s="290">
        <v>22</v>
      </c>
      <c r="E52" s="290"/>
      <c r="F52" s="222">
        <f t="shared" si="0"/>
        <v>22</v>
      </c>
      <c r="G52" s="3">
        <f t="shared" si="1"/>
        <v>46200</v>
      </c>
      <c r="I52" s="285"/>
      <c r="J52" s="1">
        <f t="shared" si="2"/>
        <v>0</v>
      </c>
      <c r="K52" s="1">
        <f t="shared" si="3"/>
        <v>0</v>
      </c>
    </row>
    <row r="53" spans="1:11" x14ac:dyDescent="0.25">
      <c r="A53" s="139" t="s">
        <v>165</v>
      </c>
      <c r="B53" s="88">
        <v>10</v>
      </c>
      <c r="C53" s="88">
        <f t="shared" si="5"/>
        <v>20</v>
      </c>
      <c r="D53" s="290">
        <v>22</v>
      </c>
      <c r="E53" s="290"/>
      <c r="F53" s="222">
        <f t="shared" si="0"/>
        <v>22</v>
      </c>
      <c r="G53" s="3">
        <f t="shared" si="1"/>
        <v>46200</v>
      </c>
      <c r="I53" s="285"/>
      <c r="J53" s="1">
        <f t="shared" si="2"/>
        <v>0</v>
      </c>
      <c r="K53" s="1">
        <f t="shared" si="3"/>
        <v>0</v>
      </c>
    </row>
    <row r="54" spans="1:11" x14ac:dyDescent="0.25">
      <c r="A54" s="139" t="s">
        <v>166</v>
      </c>
      <c r="B54" s="88">
        <v>10</v>
      </c>
      <c r="C54" s="88">
        <f t="shared" si="5"/>
        <v>20</v>
      </c>
      <c r="D54" s="290">
        <v>22</v>
      </c>
      <c r="E54" s="290"/>
      <c r="F54" s="222">
        <f t="shared" si="0"/>
        <v>22</v>
      </c>
      <c r="G54" s="3">
        <f t="shared" si="1"/>
        <v>46200</v>
      </c>
      <c r="I54" s="285"/>
      <c r="J54" s="1">
        <f t="shared" si="2"/>
        <v>0</v>
      </c>
      <c r="K54" s="1">
        <f t="shared" si="3"/>
        <v>0</v>
      </c>
    </row>
    <row r="55" spans="1:11" x14ac:dyDescent="0.25">
      <c r="A55" s="139" t="s">
        <v>167</v>
      </c>
      <c r="B55" s="88">
        <v>10</v>
      </c>
      <c r="C55" s="88">
        <f t="shared" si="5"/>
        <v>20</v>
      </c>
      <c r="D55" s="290">
        <v>22</v>
      </c>
      <c r="E55" s="290"/>
      <c r="F55" s="222">
        <f t="shared" si="0"/>
        <v>22</v>
      </c>
      <c r="G55" s="3">
        <f t="shared" si="1"/>
        <v>46200</v>
      </c>
      <c r="I55" s="285"/>
      <c r="J55" s="1">
        <f t="shared" si="2"/>
        <v>0</v>
      </c>
      <c r="K55" s="1">
        <f t="shared" si="3"/>
        <v>0</v>
      </c>
    </row>
    <row r="56" spans="1:11" ht="30" x14ac:dyDescent="0.25">
      <c r="A56" s="139" t="s">
        <v>168</v>
      </c>
      <c r="B56" s="88">
        <v>10</v>
      </c>
      <c r="C56" s="88">
        <f t="shared" si="5"/>
        <v>20</v>
      </c>
      <c r="D56" s="290">
        <v>22</v>
      </c>
      <c r="E56" s="290"/>
      <c r="F56" s="222">
        <f t="shared" si="0"/>
        <v>22</v>
      </c>
      <c r="G56" s="3">
        <f t="shared" si="1"/>
        <v>46200</v>
      </c>
      <c r="I56" s="285"/>
      <c r="J56" s="1">
        <f t="shared" si="2"/>
        <v>0</v>
      </c>
      <c r="K56" s="1">
        <f t="shared" si="3"/>
        <v>0</v>
      </c>
    </row>
    <row r="57" spans="1:11" x14ac:dyDescent="0.25">
      <c r="A57" s="139" t="s">
        <v>169</v>
      </c>
      <c r="B57" s="88">
        <v>10</v>
      </c>
      <c r="C57" s="88">
        <f t="shared" si="5"/>
        <v>20</v>
      </c>
      <c r="D57" s="290">
        <v>22</v>
      </c>
      <c r="E57" s="290"/>
      <c r="F57" s="222">
        <f t="shared" si="0"/>
        <v>22</v>
      </c>
      <c r="G57" s="3">
        <f t="shared" si="1"/>
        <v>46200</v>
      </c>
      <c r="I57" s="285"/>
      <c r="J57" s="1">
        <f t="shared" si="2"/>
        <v>0</v>
      </c>
      <c r="K57" s="1">
        <f t="shared" si="3"/>
        <v>0</v>
      </c>
    </row>
    <row r="58" spans="1:11" x14ac:dyDescent="0.25">
      <c r="A58" s="139" t="s">
        <v>170</v>
      </c>
      <c r="B58" s="88">
        <v>10</v>
      </c>
      <c r="C58" s="88">
        <f t="shared" si="5"/>
        <v>20</v>
      </c>
      <c r="D58" s="290">
        <v>22</v>
      </c>
      <c r="E58" s="290"/>
      <c r="F58" s="222">
        <f t="shared" si="0"/>
        <v>22</v>
      </c>
      <c r="G58" s="3">
        <f t="shared" si="1"/>
        <v>46200</v>
      </c>
      <c r="I58" s="285"/>
      <c r="J58" s="1">
        <f t="shared" si="2"/>
        <v>0</v>
      </c>
      <c r="K58" s="1">
        <f t="shared" si="3"/>
        <v>0</v>
      </c>
    </row>
    <row r="59" spans="1:11" ht="30" x14ac:dyDescent="0.25">
      <c r="A59" s="139" t="s">
        <v>171</v>
      </c>
      <c r="B59" s="88">
        <v>10</v>
      </c>
      <c r="C59" s="88">
        <f t="shared" si="5"/>
        <v>20</v>
      </c>
      <c r="D59" s="290">
        <v>0</v>
      </c>
      <c r="E59" s="290"/>
      <c r="F59" s="222">
        <f t="shared" si="0"/>
        <v>0</v>
      </c>
      <c r="G59" s="3">
        <f t="shared" si="1"/>
        <v>0</v>
      </c>
      <c r="I59" s="285"/>
      <c r="J59" s="1">
        <f t="shared" si="2"/>
        <v>0</v>
      </c>
      <c r="K59" s="1">
        <f t="shared" si="3"/>
        <v>0</v>
      </c>
    </row>
    <row r="60" spans="1:11" x14ac:dyDescent="0.25">
      <c r="A60" s="139" t="s">
        <v>289</v>
      </c>
      <c r="B60" s="88">
        <v>10</v>
      </c>
      <c r="C60" s="88">
        <f t="shared" si="5"/>
        <v>20</v>
      </c>
      <c r="D60" s="290"/>
      <c r="E60" s="290">
        <v>22</v>
      </c>
      <c r="F60" s="222">
        <f t="shared" si="0"/>
        <v>22</v>
      </c>
      <c r="G60" s="3">
        <f t="shared" si="1"/>
        <v>46200</v>
      </c>
      <c r="I60" s="285"/>
      <c r="J60" s="1">
        <f t="shared" si="2"/>
        <v>0</v>
      </c>
      <c r="K60" s="1">
        <f t="shared" si="3"/>
        <v>0</v>
      </c>
    </row>
    <row r="61" spans="1:11" x14ac:dyDescent="0.25">
      <c r="A61" s="139" t="s">
        <v>339</v>
      </c>
      <c r="B61" s="88">
        <v>10</v>
      </c>
      <c r="C61" s="88">
        <f t="shared" si="5"/>
        <v>20</v>
      </c>
      <c r="D61" s="290"/>
      <c r="E61" s="290">
        <v>22</v>
      </c>
      <c r="F61" s="222">
        <f t="shared" si="0"/>
        <v>22</v>
      </c>
      <c r="G61" s="3">
        <f t="shared" si="1"/>
        <v>46200</v>
      </c>
      <c r="I61" s="285"/>
      <c r="J61" s="1">
        <f t="shared" si="2"/>
        <v>0</v>
      </c>
      <c r="K61" s="1">
        <f t="shared" si="3"/>
        <v>0</v>
      </c>
    </row>
    <row r="62" spans="1:11" x14ac:dyDescent="0.25">
      <c r="A62" s="139" t="s">
        <v>173</v>
      </c>
      <c r="B62" s="88">
        <v>10</v>
      </c>
      <c r="C62" s="88">
        <f t="shared" si="5"/>
        <v>20</v>
      </c>
      <c r="D62" s="290"/>
      <c r="E62" s="290">
        <v>22</v>
      </c>
      <c r="F62" s="222">
        <f t="shared" ref="F62:F75" si="6">SUM(D62:E62)</f>
        <v>22</v>
      </c>
      <c r="G62" s="3">
        <f t="shared" ref="G62:G74" si="7">F62*$D$2</f>
        <v>46200</v>
      </c>
      <c r="I62" s="285"/>
      <c r="J62" s="1">
        <f t="shared" ref="J62:J71" si="8">I62*$D$2</f>
        <v>0</v>
      </c>
      <c r="K62" s="1">
        <f t="shared" ref="K62:K69" si="9">I62/5</f>
        <v>0</v>
      </c>
    </row>
    <row r="63" spans="1:11" x14ac:dyDescent="0.25">
      <c r="A63" s="139" t="s">
        <v>174</v>
      </c>
      <c r="B63" s="88">
        <v>10</v>
      </c>
      <c r="C63" s="88">
        <f t="shared" si="5"/>
        <v>20</v>
      </c>
      <c r="D63" s="290"/>
      <c r="E63" s="290">
        <v>22</v>
      </c>
      <c r="F63" s="222">
        <f t="shared" si="6"/>
        <v>22</v>
      </c>
      <c r="G63" s="3">
        <f t="shared" si="7"/>
        <v>46200</v>
      </c>
      <c r="I63" s="285"/>
      <c r="J63" s="1">
        <f t="shared" si="8"/>
        <v>0</v>
      </c>
      <c r="K63" s="1">
        <f t="shared" si="9"/>
        <v>0</v>
      </c>
    </row>
    <row r="64" spans="1:11" ht="30" x14ac:dyDescent="0.25">
      <c r="A64" s="139" t="s">
        <v>175</v>
      </c>
      <c r="B64" s="88">
        <v>10</v>
      </c>
      <c r="C64" s="88">
        <f t="shared" si="5"/>
        <v>20</v>
      </c>
      <c r="D64" s="290"/>
      <c r="E64" s="290">
        <v>22</v>
      </c>
      <c r="F64" s="222">
        <f t="shared" si="6"/>
        <v>22</v>
      </c>
      <c r="G64" s="3">
        <f t="shared" si="7"/>
        <v>46200</v>
      </c>
      <c r="I64" s="285"/>
      <c r="J64" s="1">
        <f t="shared" si="8"/>
        <v>0</v>
      </c>
      <c r="K64" s="1">
        <f t="shared" si="9"/>
        <v>0</v>
      </c>
    </row>
    <row r="65" spans="1:11" x14ac:dyDescent="0.25">
      <c r="A65" s="139" t="s">
        <v>176</v>
      </c>
      <c r="B65" s="88">
        <v>10</v>
      </c>
      <c r="C65" s="88">
        <f t="shared" si="5"/>
        <v>20</v>
      </c>
      <c r="D65" s="290"/>
      <c r="E65" s="290">
        <v>22</v>
      </c>
      <c r="F65" s="222">
        <f t="shared" si="6"/>
        <v>22</v>
      </c>
      <c r="G65" s="3">
        <f t="shared" si="7"/>
        <v>46200</v>
      </c>
      <c r="I65" s="285"/>
      <c r="J65" s="1">
        <f t="shared" si="8"/>
        <v>0</v>
      </c>
      <c r="K65" s="1">
        <f t="shared" si="9"/>
        <v>0</v>
      </c>
    </row>
    <row r="66" spans="1:11" x14ac:dyDescent="0.25">
      <c r="A66" s="139" t="s">
        <v>177</v>
      </c>
      <c r="B66" s="88">
        <v>10</v>
      </c>
      <c r="C66" s="88">
        <f t="shared" si="5"/>
        <v>20</v>
      </c>
      <c r="D66" s="290"/>
      <c r="E66" s="290">
        <v>22</v>
      </c>
      <c r="F66" s="222">
        <f t="shared" si="6"/>
        <v>22</v>
      </c>
      <c r="G66" s="3">
        <f t="shared" si="7"/>
        <v>46200</v>
      </c>
      <c r="I66" s="285"/>
      <c r="J66" s="1">
        <f t="shared" si="8"/>
        <v>0</v>
      </c>
      <c r="K66" s="1">
        <f t="shared" si="9"/>
        <v>0</v>
      </c>
    </row>
    <row r="67" spans="1:11" x14ac:dyDescent="0.25">
      <c r="A67" s="139" t="s">
        <v>178</v>
      </c>
      <c r="B67" s="88">
        <v>10</v>
      </c>
      <c r="C67" s="88">
        <f t="shared" si="5"/>
        <v>20</v>
      </c>
      <c r="D67" s="290"/>
      <c r="E67" s="290">
        <v>22</v>
      </c>
      <c r="F67" s="222">
        <f t="shared" si="6"/>
        <v>22</v>
      </c>
      <c r="G67" s="3">
        <f t="shared" si="7"/>
        <v>46200</v>
      </c>
      <c r="I67" s="285"/>
      <c r="J67" s="1">
        <f t="shared" si="8"/>
        <v>0</v>
      </c>
      <c r="K67" s="1">
        <f t="shared" si="9"/>
        <v>0</v>
      </c>
    </row>
    <row r="68" spans="1:11" ht="30" x14ac:dyDescent="0.25">
      <c r="A68" s="139" t="s">
        <v>179</v>
      </c>
      <c r="B68" s="88">
        <v>10</v>
      </c>
      <c r="C68" s="88">
        <f t="shared" si="5"/>
        <v>20</v>
      </c>
      <c r="D68" s="290"/>
      <c r="E68" s="290">
        <v>22</v>
      </c>
      <c r="F68" s="222">
        <f t="shared" si="6"/>
        <v>22</v>
      </c>
      <c r="G68" s="3">
        <f t="shared" si="7"/>
        <v>46200</v>
      </c>
      <c r="I68" s="285"/>
      <c r="J68" s="1">
        <f t="shared" si="8"/>
        <v>0</v>
      </c>
      <c r="K68" s="1">
        <f t="shared" si="9"/>
        <v>0</v>
      </c>
    </row>
    <row r="69" spans="1:11" x14ac:dyDescent="0.25">
      <c r="A69" s="139" t="s">
        <v>180</v>
      </c>
      <c r="B69" s="64">
        <v>10</v>
      </c>
      <c r="C69" s="64">
        <f t="shared" si="5"/>
        <v>20</v>
      </c>
      <c r="D69" s="285"/>
      <c r="E69" s="285">
        <v>22</v>
      </c>
      <c r="F69" s="1">
        <f t="shared" si="6"/>
        <v>22</v>
      </c>
      <c r="G69" s="3">
        <f t="shared" si="7"/>
        <v>46200</v>
      </c>
      <c r="I69" s="285"/>
      <c r="J69" s="1">
        <f t="shared" si="8"/>
        <v>0</v>
      </c>
      <c r="K69" s="1">
        <f t="shared" si="9"/>
        <v>0</v>
      </c>
    </row>
    <row r="70" spans="1:11" ht="30" x14ac:dyDescent="0.25">
      <c r="A70" s="139" t="s">
        <v>204</v>
      </c>
      <c r="B70" s="88">
        <v>10</v>
      </c>
      <c r="C70" s="88">
        <f>B70*2</f>
        <v>20</v>
      </c>
      <c r="D70" s="290"/>
      <c r="E70" s="290">
        <v>22</v>
      </c>
      <c r="F70" s="1">
        <f t="shared" si="6"/>
        <v>22</v>
      </c>
      <c r="G70" s="3">
        <f>F70*$D$2</f>
        <v>46200</v>
      </c>
      <c r="I70" s="285">
        <v>0</v>
      </c>
      <c r="J70" s="1">
        <f>I70*$D$2</f>
        <v>0</v>
      </c>
      <c r="K70" s="1">
        <f>I70/5</f>
        <v>0</v>
      </c>
    </row>
    <row r="71" spans="1:11" ht="30" x14ac:dyDescent="0.25">
      <c r="A71" s="139" t="s">
        <v>266</v>
      </c>
      <c r="B71" s="64">
        <v>10</v>
      </c>
      <c r="C71" s="64">
        <f t="shared" si="5"/>
        <v>20</v>
      </c>
      <c r="D71" s="285"/>
      <c r="E71" s="285">
        <v>0</v>
      </c>
      <c r="F71" s="1">
        <f t="shared" si="6"/>
        <v>0</v>
      </c>
      <c r="G71" s="3">
        <f t="shared" si="7"/>
        <v>0</v>
      </c>
      <c r="I71" s="285"/>
      <c r="J71" s="1">
        <f t="shared" si="8"/>
        <v>0</v>
      </c>
      <c r="K71" s="1"/>
    </row>
    <row r="72" spans="1:11" ht="30" x14ac:dyDescent="0.25">
      <c r="A72" s="139" t="s">
        <v>267</v>
      </c>
      <c r="B72" s="64">
        <v>10</v>
      </c>
      <c r="C72" s="64">
        <f t="shared" si="5"/>
        <v>20</v>
      </c>
      <c r="D72" s="285"/>
      <c r="E72" s="285">
        <v>22</v>
      </c>
      <c r="F72" s="1">
        <f t="shared" si="6"/>
        <v>22</v>
      </c>
      <c r="G72" s="3">
        <f t="shared" si="7"/>
        <v>46200</v>
      </c>
      <c r="I72" s="285">
        <v>0</v>
      </c>
      <c r="J72" s="1"/>
      <c r="K72" s="1"/>
    </row>
    <row r="73" spans="1:11" x14ac:dyDescent="0.25">
      <c r="A73" s="139" t="s">
        <v>310</v>
      </c>
      <c r="B73" s="64"/>
      <c r="C73" s="64"/>
      <c r="D73" s="285">
        <v>36</v>
      </c>
      <c r="E73" s="285">
        <v>36</v>
      </c>
      <c r="F73" s="1">
        <f t="shared" si="6"/>
        <v>72</v>
      </c>
      <c r="G73" s="3">
        <f t="shared" si="7"/>
        <v>151200</v>
      </c>
      <c r="I73" s="285"/>
      <c r="J73" s="1"/>
      <c r="K73" s="1"/>
    </row>
    <row r="74" spans="1:11" ht="30" x14ac:dyDescent="0.25">
      <c r="A74" s="139" t="s">
        <v>311</v>
      </c>
      <c r="B74" s="64"/>
      <c r="C74" s="64"/>
      <c r="D74" s="285">
        <v>6</v>
      </c>
      <c r="E74" s="285">
        <v>6</v>
      </c>
      <c r="F74" s="1">
        <f t="shared" si="6"/>
        <v>12</v>
      </c>
      <c r="G74" s="3">
        <f t="shared" si="7"/>
        <v>25200</v>
      </c>
      <c r="I74" s="285"/>
      <c r="J74" s="1"/>
      <c r="K74" s="1"/>
    </row>
    <row r="75" spans="1:11" x14ac:dyDescent="0.25">
      <c r="A75" s="139" t="s">
        <v>344</v>
      </c>
      <c r="B75" s="64"/>
      <c r="C75" s="64"/>
      <c r="D75" s="285">
        <v>0</v>
      </c>
      <c r="E75" s="285">
        <v>200</v>
      </c>
      <c r="F75" s="1">
        <f t="shared" si="6"/>
        <v>200</v>
      </c>
      <c r="G75" s="3">
        <f>F75*$D$2*-1</f>
        <v>-420000</v>
      </c>
      <c r="I75" s="285"/>
      <c r="J75" s="1"/>
      <c r="K75" s="1"/>
    </row>
    <row r="76" spans="1:11" s="141" customFormat="1" ht="18.75" x14ac:dyDescent="0.3">
      <c r="A76" s="142" t="s">
        <v>61</v>
      </c>
      <c r="B76" s="143"/>
      <c r="C76" s="143"/>
      <c r="D76" s="144">
        <f>SUM(D6:D74)</f>
        <v>624</v>
      </c>
      <c r="E76" s="144">
        <f>SUM(E6:E75)</f>
        <v>864</v>
      </c>
      <c r="F76" s="144">
        <f>SUM(F6:F75)</f>
        <v>1488</v>
      </c>
      <c r="G76" s="144">
        <f>SUM(G6:G75)</f>
        <v>2284800</v>
      </c>
      <c r="I76" s="143">
        <f>F76*0.12</f>
        <v>178.56</v>
      </c>
      <c r="J76" s="143">
        <f>I76*D2</f>
        <v>374976</v>
      </c>
      <c r="K76" s="143">
        <f>SUM(K6:K69)</f>
        <v>0</v>
      </c>
    </row>
    <row r="78" spans="1:11" x14ac:dyDescent="0.25">
      <c r="K78" s="120"/>
    </row>
  </sheetData>
  <sheetProtection algorithmName="SHA-512" hashValue="d6ghtxaNgr5X0LMLD6hvOIlJVulHbmNGHEl9bAjRqfjzGM0FduYdWAKOeOQzFmOVWQIGuzBhZk33ECyAgnMAIQ==" saltValue="USkykp9d6iNVucTsbWq+GQ==" spinCount="100000" sheet="1" objects="1" scenarios="1" selectLockedCells="1"/>
  <customSheetViews>
    <customSheetView guid="{54055508-3439-4A0A-A803-01A23ABF8DBD}" hiddenColumns="1" topLeftCell="A20">
      <selection activeCell="E49" sqref="E49"/>
      <pageMargins left="0.7" right="0.7" top="0.75" bottom="0.75" header="0.3" footer="0.3"/>
      <pageSetup paperSize="9" orientation="portrait" r:id="rId1"/>
    </customSheetView>
    <customSheetView guid="{7084DC93-B2BE-4098-87E1-DAC5FBCE0E0A}" hiddenColumns="1" topLeftCell="A21">
      <selection activeCell="D2" sqref="D2"/>
      <pageMargins left="0.7" right="0.7" top="0.75" bottom="0.75" header="0.3" footer="0.3"/>
      <pageSetup paperSize="9" orientation="portrait" r:id="rId2"/>
    </customSheetView>
    <customSheetView guid="{37BC2192-ABF8-4439-93C4-8E65E7EF90F5}" hiddenColumns="1" topLeftCell="A21">
      <selection activeCell="D2" sqref="D2"/>
      <pageMargins left="0.7" right="0.7" top="0.75" bottom="0.75" header="0.3" footer="0.3"/>
      <pageSetup paperSize="9" orientation="portrait" r:id="rId3"/>
    </customSheetView>
    <customSheetView guid="{1283C6B5-B05C-447B-8854-CDB081C03FD4}" scale="80" hiddenColumns="1">
      <selection activeCell="D60" sqref="D60"/>
      <pageMargins left="0.7" right="0.7" top="0.75" bottom="0.75" header="0.3" footer="0.3"/>
      <pageSetup paperSize="9" orientation="portrait" r:id="rId4"/>
    </customSheetView>
    <customSheetView guid="{F170D8DF-3539-4353-BD8B-1F5EB452DAE5}" hiddenColumns="1" topLeftCell="A67">
      <selection activeCell="I55" sqref="I55"/>
      <pageMargins left="0.7" right="0.7" top="0.75" bottom="0.75" header="0.3" footer="0.3"/>
      <pageSetup paperSize="9" orientation="portrait" r:id="rId5"/>
    </customSheetView>
    <customSheetView guid="{F727610F-D041-4412-A81F-AFD013C44971}" hiddenColumns="1" topLeftCell="A55">
      <selection activeCell="I55" sqref="I55"/>
      <pageMargins left="0.7" right="0.7" top="0.75" bottom="0.75" header="0.3" footer="0.3"/>
      <pageSetup paperSize="9" orientation="portrait" r:id="rId6"/>
    </customSheetView>
    <customSheetView guid="{46AB9545-8BEE-4A2F-B820-9F80AC24A11B}" hiddenColumns="1">
      <selection activeCell="E22" sqref="E22"/>
      <pageMargins left="0.7" right="0.7" top="0.75" bottom="0.75" header="0.3" footer="0.3"/>
      <pageSetup paperSize="9" orientation="portrait" r:id="rId7"/>
    </customSheetView>
    <customSheetView guid="{E5349645-7714-4437-B9BC-26ED822E5BC5}" hiddenColumns="1">
      <selection activeCell="D24" sqref="D24"/>
      <pageMargins left="0.7" right="0.7" top="0.75" bottom="0.75" header="0.3" footer="0.3"/>
      <pageSetup paperSize="9" orientation="portrait" r:id="rId8"/>
    </customSheetView>
    <customSheetView guid="{43EFFC0A-CCC0-43DD-A273-4AF58757EC00}">
      <selection activeCell="E71" sqref="E71"/>
      <pageMargins left="0.7" right="0.7" top="0.75" bottom="0.75" header="0.3" footer="0.3"/>
      <pageSetup paperSize="9" orientation="portrait" r:id="rId9"/>
    </customSheetView>
    <customSheetView guid="{7AE955BB-7BF8-4CA4-ABF1-6A0BB53A48AD}" topLeftCell="A36">
      <selection activeCell="M100" sqref="M100"/>
      <pageMargins left="0.7" right="0.7" top="0.75" bottom="0.75" header="0.3" footer="0.3"/>
      <pageSetup paperSize="9" orientation="portrait" r:id="rId10"/>
    </customSheetView>
    <customSheetView guid="{BB9ED292-532F-438C-A4A6-F8D66D70E0E7}" topLeftCell="A61">
      <selection activeCell="A43" sqref="A43"/>
      <pageMargins left="0.7" right="0.7" top="0.75" bottom="0.75" header="0.3" footer="0.3"/>
      <pageSetup paperSize="9" orientation="portrait" r:id="rId11"/>
    </customSheetView>
    <customSheetView guid="{726FF687-50E0-4F8A-BCCB-6DA9E6D367D4}">
      <selection activeCell="N17" sqref="N17"/>
      <pageMargins left="0.7" right="0.7" top="0.75" bottom="0.75" header="0.3" footer="0.3"/>
      <pageSetup paperSize="9" orientation="portrait" r:id="rId12"/>
    </customSheetView>
    <customSheetView guid="{B76C0EA9-E79B-4DA2-9ADE-66DB47109F8F}">
      <selection activeCell="N17" sqref="N17"/>
      <pageMargins left="0.7" right="0.7" top="0.75" bottom="0.75" header="0.3" footer="0.3"/>
      <pageSetup paperSize="9" orientation="portrait" r:id="rId13"/>
    </customSheetView>
    <customSheetView guid="{1241DC17-BD41-46C5-9DB1-684763A09F24}" topLeftCell="A16">
      <selection activeCell="J83" sqref="J83"/>
      <pageMargins left="0.7" right="0.7" top="0.75" bottom="0.75" header="0.3" footer="0.3"/>
      <pageSetup paperSize="9" orientation="portrait" r:id="rId14"/>
    </customSheetView>
    <customSheetView guid="{C1FECEF4-D739-4F39-9B89-CF4C04A77A9B}" showPageBreaks="1" topLeftCell="A29">
      <selection activeCell="A72" sqref="A72"/>
      <pageMargins left="0.7" right="0.7" top="0.75" bottom="0.75" header="0.3" footer="0.3"/>
      <pageSetup paperSize="9" orientation="portrait" r:id="rId15"/>
    </customSheetView>
    <customSheetView guid="{83C69039-3E29-46E1-85FB-B9165E0BFA91}" topLeftCell="A16">
      <selection activeCell="J83" sqref="J83"/>
      <pageMargins left="0.7" right="0.7" top="0.75" bottom="0.75" header="0.3" footer="0.3"/>
      <pageSetup paperSize="9" orientation="portrait" r:id="rId16"/>
    </customSheetView>
    <customSheetView guid="{F38A39FA-EF57-4062-A2AD-F3BEB88C5762}">
      <selection activeCell="E71" sqref="E71"/>
      <pageMargins left="0.7" right="0.7" top="0.75" bottom="0.75" header="0.3" footer="0.3"/>
      <pageSetup paperSize="9" orientation="portrait" r:id="rId17"/>
    </customSheetView>
    <customSheetView guid="{749D43A3-052D-442F-AE88-F6CCB83A1282}" topLeftCell="A60">
      <selection activeCell="D92" sqref="D92:E92"/>
      <pageMargins left="0.7" right="0.7" top="0.75" bottom="0.75" header="0.3" footer="0.3"/>
      <pageSetup paperSize="9" orientation="portrait" r:id="rId18"/>
    </customSheetView>
    <customSheetView guid="{AC2983A2-F978-40B7-A196-35F34E705157}" scale="120" hiddenColumns="1" topLeftCell="A2">
      <selection activeCell="D2" sqref="D2"/>
      <pageMargins left="0.7" right="0.7" top="0.75" bottom="0.75" header="0.3" footer="0.3"/>
      <pageSetup paperSize="9" orientation="portrait" r:id="rId19"/>
    </customSheetView>
    <customSheetView guid="{2A2C752C-8C42-4F9A-A40C-FE7F7014F210}" hiddenColumns="1" topLeftCell="A21">
      <selection activeCell="D2" sqref="D2"/>
      <pageMargins left="0.7" right="0.7" top="0.75" bottom="0.75" header="0.3" footer="0.3"/>
      <pageSetup paperSize="9" orientation="portrait" r:id="rId20"/>
    </customSheetView>
    <customSheetView guid="{0E885D9C-CD7C-4655-8709-41793617E0A7}" hiddenColumns="1" topLeftCell="A21">
      <selection activeCell="D2" sqref="D2"/>
      <pageMargins left="0.7" right="0.7" top="0.75" bottom="0.75" header="0.3" footer="0.3"/>
      <pageSetup paperSize="9" orientation="portrait" r:id="rId21"/>
    </customSheetView>
    <customSheetView guid="{CB7E9FB3-C7A3-44DE-98E4-19C23B487785}" hiddenColumns="1" topLeftCell="A20">
      <selection activeCell="E49" sqref="E49"/>
      <pageMargins left="0.7" right="0.7" top="0.75" bottom="0.75" header="0.3" footer="0.3"/>
      <pageSetup paperSize="9" orientation="portrait" r:id="rId22"/>
    </customSheetView>
  </customSheetViews>
  <mergeCells count="1">
    <mergeCell ref="D4:F4"/>
  </mergeCells>
  <pageMargins left="0.7" right="0.7" top="0.75" bottom="0.75" header="0.3" footer="0.3"/>
  <pageSetup paperSize="9" orientation="portrait" r:id="rId23"/>
  <legacyDrawing r:id="rId2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0" zoomScaleNormal="100" workbookViewId="0">
      <selection activeCell="D30" sqref="D30"/>
    </sheetView>
  </sheetViews>
  <sheetFormatPr defaultColWidth="11.42578125" defaultRowHeight="15" x14ac:dyDescent="0.25"/>
  <cols>
    <col min="1" max="1" width="62.42578125" customWidth="1"/>
    <col min="2" max="2" width="14.140625" customWidth="1"/>
    <col min="3" max="3" width="14.42578125" customWidth="1"/>
    <col min="4" max="4" width="10" bestFit="1" customWidth="1"/>
    <col min="5" max="5" width="10.85546875" customWidth="1"/>
    <col min="6" max="6" width="14.42578125" bestFit="1" customWidth="1"/>
    <col min="7" max="256" width="9.140625" customWidth="1"/>
  </cols>
  <sheetData>
    <row r="1" spans="1:8" ht="20.25" x14ac:dyDescent="0.3">
      <c r="A1" s="169" t="s">
        <v>343</v>
      </c>
    </row>
    <row r="3" spans="1:8" x14ac:dyDescent="0.25">
      <c r="F3" s="189" t="s">
        <v>198</v>
      </c>
    </row>
    <row r="4" spans="1:8" ht="18.75" x14ac:dyDescent="0.3">
      <c r="A4" s="167" t="s">
        <v>216</v>
      </c>
      <c r="C4" s="168">
        <v>500000</v>
      </c>
      <c r="F4" s="150">
        <v>0.2</v>
      </c>
    </row>
    <row r="5" spans="1:8" ht="18.75" x14ac:dyDescent="0.3">
      <c r="A5" s="167" t="s">
        <v>211</v>
      </c>
      <c r="C5" s="168">
        <f>E27</f>
        <v>114000</v>
      </c>
      <c r="F5" s="150">
        <v>0.2</v>
      </c>
    </row>
    <row r="6" spans="1:8" ht="18.75" x14ac:dyDescent="0.3">
      <c r="A6" s="167" t="s">
        <v>212</v>
      </c>
      <c r="C6" s="168">
        <f>E33</f>
        <v>121800</v>
      </c>
      <c r="F6" s="150">
        <v>0.2</v>
      </c>
    </row>
    <row r="7" spans="1:8" ht="18.75" x14ac:dyDescent="0.3">
      <c r="A7" s="167" t="s">
        <v>264</v>
      </c>
      <c r="C7" s="168">
        <f>'Oppsummering '!D12</f>
        <v>2142360.0000000005</v>
      </c>
      <c r="F7" s="150">
        <v>0.6</v>
      </c>
      <c r="G7" s="18"/>
      <c r="H7" s="18"/>
    </row>
    <row r="8" spans="1:8" ht="18.75" x14ac:dyDescent="0.3">
      <c r="A8" s="167" t="s">
        <v>53</v>
      </c>
      <c r="C8" s="168">
        <v>249500</v>
      </c>
      <c r="F8" s="150"/>
    </row>
    <row r="9" spans="1:8" ht="18.75" x14ac:dyDescent="0.3">
      <c r="A9" s="167" t="s">
        <v>338</v>
      </c>
      <c r="C9" s="168">
        <v>100000</v>
      </c>
      <c r="F9" s="150"/>
    </row>
    <row r="10" spans="1:8" ht="18.75" x14ac:dyDescent="0.3">
      <c r="A10" s="243" t="s">
        <v>199</v>
      </c>
      <c r="C10" s="168">
        <f>178*2050</f>
        <v>364900</v>
      </c>
      <c r="F10" s="150">
        <v>0.1</v>
      </c>
    </row>
    <row r="11" spans="1:8" ht="18.75" x14ac:dyDescent="0.3">
      <c r="A11" s="243" t="s">
        <v>348</v>
      </c>
      <c r="C11" s="168">
        <f>E18</f>
        <v>0</v>
      </c>
      <c r="F11" s="150"/>
    </row>
    <row r="12" spans="1:8" ht="18.75" x14ac:dyDescent="0.3">
      <c r="A12" s="243" t="s">
        <v>347</v>
      </c>
      <c r="C12" s="168">
        <f>E19</f>
        <v>49680</v>
      </c>
      <c r="F12" s="150"/>
    </row>
    <row r="13" spans="1:8" ht="18.75" x14ac:dyDescent="0.3">
      <c r="A13" s="243" t="str">
        <f>A20</f>
        <v>TULSA og andre tiltak</v>
      </c>
      <c r="C13" s="168">
        <f>E20</f>
        <v>376320</v>
      </c>
      <c r="F13" s="150"/>
    </row>
    <row r="14" spans="1:8" s="181" customFormat="1" ht="18.75" x14ac:dyDescent="0.3">
      <c r="A14" s="186" t="s">
        <v>200</v>
      </c>
      <c r="C14" s="187">
        <f>SUM(C4:C10)</f>
        <v>3592560.0000000005</v>
      </c>
    </row>
    <row r="17" spans="1:9" x14ac:dyDescent="0.25">
      <c r="A17" s="170" t="s">
        <v>183</v>
      </c>
      <c r="B17" s="171" t="s">
        <v>184</v>
      </c>
      <c r="C17" s="170" t="s">
        <v>185</v>
      </c>
      <c r="D17" s="170" t="s">
        <v>186</v>
      </c>
      <c r="E17" s="170" t="s">
        <v>197</v>
      </c>
      <c r="F17" s="170" t="s">
        <v>198</v>
      </c>
    </row>
    <row r="18" spans="1:9" x14ac:dyDescent="0.25">
      <c r="A18" s="246" t="s">
        <v>348</v>
      </c>
      <c r="B18" s="328"/>
      <c r="C18" s="328"/>
      <c r="D18" s="328"/>
      <c r="E18" s="248">
        <f>C18*B18+D18*B18</f>
        <v>0</v>
      </c>
      <c r="F18" s="248">
        <f>E18</f>
        <v>0</v>
      </c>
    </row>
    <row r="19" spans="1:9" x14ac:dyDescent="0.25">
      <c r="A19" s="172" t="s">
        <v>292</v>
      </c>
      <c r="B19" s="173">
        <v>184</v>
      </c>
      <c r="C19" s="297">
        <v>135</v>
      </c>
      <c r="D19" s="297">
        <v>135</v>
      </c>
      <c r="E19" s="248">
        <f>C19*B19+D19*B19</f>
        <v>49680</v>
      </c>
      <c r="F19" s="174">
        <v>0.2</v>
      </c>
    </row>
    <row r="20" spans="1:9" x14ac:dyDescent="0.25">
      <c r="A20" s="172" t="s">
        <v>330</v>
      </c>
      <c r="B20" s="226">
        <f>B23*2/5</f>
        <v>840</v>
      </c>
      <c r="C20" s="297">
        <v>192</v>
      </c>
      <c r="D20" s="297">
        <v>256</v>
      </c>
      <c r="E20" s="248">
        <f>C20*B20+D20*B20</f>
        <v>376320</v>
      </c>
      <c r="F20" s="246"/>
      <c r="G20" s="221"/>
    </row>
    <row r="21" spans="1:9" x14ac:dyDescent="0.25">
      <c r="A21" s="172"/>
      <c r="B21" s="173"/>
      <c r="C21" s="245"/>
      <c r="D21" s="245"/>
      <c r="E21" s="245"/>
      <c r="F21" s="245"/>
      <c r="G21" s="221"/>
    </row>
    <row r="22" spans="1:9" x14ac:dyDescent="0.25">
      <c r="A22" s="170" t="s">
        <v>187</v>
      </c>
      <c r="B22" s="173"/>
      <c r="C22" s="245"/>
      <c r="D22" s="245"/>
      <c r="E22" s="245"/>
      <c r="F22" s="245"/>
      <c r="G22" s="221"/>
    </row>
    <row r="23" spans="1:9" x14ac:dyDescent="0.25">
      <c r="A23" s="172" t="s">
        <v>188</v>
      </c>
      <c r="B23" s="173">
        <v>2100</v>
      </c>
      <c r="C23" s="297">
        <v>0</v>
      </c>
      <c r="D23" s="297">
        <v>0</v>
      </c>
      <c r="E23" s="248">
        <f>C23*B23+D23*B23</f>
        <v>0</v>
      </c>
      <c r="F23" s="248">
        <f>E23</f>
        <v>0</v>
      </c>
      <c r="G23" s="221"/>
    </row>
    <row r="24" spans="1:9" x14ac:dyDescent="0.25">
      <c r="A24" s="172" t="s">
        <v>189</v>
      </c>
      <c r="B24" s="173">
        <v>2100</v>
      </c>
      <c r="C24" s="297">
        <v>10</v>
      </c>
      <c r="D24" s="297">
        <v>10</v>
      </c>
      <c r="E24" s="248">
        <f t="shared" ref="E24:E34" si="0">C24*B24+D24*B24</f>
        <v>42000</v>
      </c>
      <c r="F24" s="248">
        <f>E24*0.5</f>
        <v>21000</v>
      </c>
      <c r="G24" s="221"/>
    </row>
    <row r="25" spans="1:9" x14ac:dyDescent="0.25">
      <c r="A25" s="172" t="s">
        <v>190</v>
      </c>
      <c r="B25" s="173">
        <v>2100</v>
      </c>
      <c r="C25" s="297">
        <v>10</v>
      </c>
      <c r="D25" s="297">
        <v>10</v>
      </c>
      <c r="E25" s="248">
        <f t="shared" si="0"/>
        <v>42000</v>
      </c>
      <c r="F25" s="248">
        <v>0</v>
      </c>
      <c r="G25" s="221"/>
    </row>
    <row r="26" spans="1:9" x14ac:dyDescent="0.25">
      <c r="A26" s="172" t="s">
        <v>337</v>
      </c>
      <c r="B26" s="173">
        <v>15000</v>
      </c>
      <c r="C26" s="297">
        <v>1</v>
      </c>
      <c r="D26" s="297">
        <v>1</v>
      </c>
      <c r="E26" s="248">
        <f t="shared" si="0"/>
        <v>30000</v>
      </c>
      <c r="F26" s="248">
        <f>E26</f>
        <v>30000</v>
      </c>
      <c r="G26" s="221"/>
    </row>
    <row r="27" spans="1:9" s="181" customFormat="1" x14ac:dyDescent="0.25">
      <c r="A27" s="179" t="s">
        <v>214</v>
      </c>
      <c r="B27" s="180"/>
      <c r="C27" s="184"/>
      <c r="D27" s="184"/>
      <c r="E27" s="185">
        <f>SUM(E23:E26)</f>
        <v>114000</v>
      </c>
      <c r="F27" s="185">
        <f>SUM(F23:F26)</f>
        <v>51000</v>
      </c>
      <c r="G27" s="249"/>
    </row>
    <row r="28" spans="1:9" x14ac:dyDescent="0.25">
      <c r="A28" s="172"/>
      <c r="B28" s="173"/>
      <c r="C28" s="247"/>
      <c r="D28" s="247"/>
      <c r="E28" s="248">
        <f t="shared" si="0"/>
        <v>0</v>
      </c>
      <c r="F28" s="248">
        <f t="shared" ref="F28:F34" si="1">E28*$F$19</f>
        <v>0</v>
      </c>
      <c r="G28" s="221"/>
      <c r="H28" s="227"/>
      <c r="I28" s="227"/>
    </row>
    <row r="29" spans="1:9" x14ac:dyDescent="0.25">
      <c r="A29" s="170" t="s">
        <v>191</v>
      </c>
      <c r="B29" s="173"/>
      <c r="C29" s="247"/>
      <c r="D29" s="247"/>
      <c r="E29" s="248">
        <f t="shared" si="0"/>
        <v>0</v>
      </c>
      <c r="F29" s="248">
        <f t="shared" si="1"/>
        <v>0</v>
      </c>
      <c r="G29" s="221"/>
      <c r="H29" s="227"/>
      <c r="I29" s="227"/>
    </row>
    <row r="30" spans="1:9" ht="16.5" customHeight="1" x14ac:dyDescent="0.35">
      <c r="A30" s="175" t="s">
        <v>331</v>
      </c>
      <c r="B30" s="182">
        <v>2100</v>
      </c>
      <c r="C30" s="298"/>
      <c r="D30" s="299">
        <v>20</v>
      </c>
      <c r="E30" s="182">
        <f t="shared" si="0"/>
        <v>42000</v>
      </c>
      <c r="F30" s="248">
        <f t="shared" si="1"/>
        <v>8400</v>
      </c>
      <c r="G30" s="250"/>
      <c r="H30" s="228"/>
      <c r="I30" s="229"/>
    </row>
    <row r="31" spans="1:9" ht="18.75" customHeight="1" x14ac:dyDescent="0.35">
      <c r="A31" s="175" t="s">
        <v>213</v>
      </c>
      <c r="B31" s="182">
        <v>2100</v>
      </c>
      <c r="C31" s="299">
        <v>20</v>
      </c>
      <c r="D31" s="298"/>
      <c r="E31" s="182">
        <f t="shared" si="0"/>
        <v>42000</v>
      </c>
      <c r="F31" s="248">
        <f t="shared" si="1"/>
        <v>8400</v>
      </c>
      <c r="G31" s="221"/>
      <c r="H31" s="227"/>
      <c r="I31" s="229"/>
    </row>
    <row r="32" spans="1:9" ht="14.25" customHeight="1" x14ac:dyDescent="0.35">
      <c r="A32" s="175" t="s">
        <v>332</v>
      </c>
      <c r="B32" s="182">
        <v>2100</v>
      </c>
      <c r="C32" s="300"/>
      <c r="D32" s="300">
        <v>18</v>
      </c>
      <c r="E32" s="182">
        <f t="shared" si="0"/>
        <v>37800</v>
      </c>
      <c r="F32" s="248">
        <f t="shared" si="1"/>
        <v>7560</v>
      </c>
      <c r="G32" s="221" t="s">
        <v>353</v>
      </c>
      <c r="H32" s="227"/>
      <c r="I32" s="229"/>
    </row>
    <row r="33" spans="1:11" s="181" customFormat="1" x14ac:dyDescent="0.25">
      <c r="A33" s="183" t="s">
        <v>215</v>
      </c>
      <c r="B33" s="171"/>
      <c r="C33" s="184"/>
      <c r="D33" s="184"/>
      <c r="E33" s="185">
        <f>SUM(E28:E32)</f>
        <v>121800</v>
      </c>
      <c r="F33" s="185">
        <f t="shared" si="1"/>
        <v>24360</v>
      </c>
      <c r="G33" s="249"/>
    </row>
    <row r="34" spans="1:11" ht="18" customHeight="1" x14ac:dyDescent="0.25">
      <c r="A34" s="176"/>
      <c r="B34" s="175"/>
      <c r="C34" s="177"/>
      <c r="D34" s="178"/>
      <c r="E34" s="173">
        <f t="shared" si="0"/>
        <v>0</v>
      </c>
      <c r="F34" s="173">
        <f t="shared" si="1"/>
        <v>0</v>
      </c>
    </row>
    <row r="35" spans="1:11" ht="18" customHeight="1" x14ac:dyDescent="0.25">
      <c r="A35" s="230"/>
      <c r="B35" s="231"/>
      <c r="C35" s="232"/>
      <c r="D35" s="232"/>
      <c r="E35" s="233"/>
      <c r="F35" s="233"/>
    </row>
    <row r="36" spans="1:11" ht="18.75" customHeight="1" x14ac:dyDescent="0.25">
      <c r="A36" s="234"/>
      <c r="B36" s="233"/>
      <c r="C36" s="232"/>
      <c r="D36" s="232"/>
      <c r="E36" s="233"/>
      <c r="F36" s="233"/>
      <c r="G36" s="18"/>
      <c r="H36" s="18"/>
      <c r="I36" s="18"/>
      <c r="J36" s="18"/>
      <c r="K36" s="18"/>
    </row>
    <row r="37" spans="1:11" ht="18.75" customHeight="1" x14ac:dyDescent="0.25">
      <c r="A37" s="234"/>
      <c r="B37" s="233"/>
      <c r="C37" s="235"/>
      <c r="D37" s="232"/>
      <c r="E37" s="233"/>
      <c r="F37" s="233"/>
    </row>
    <row r="38" spans="1:11" ht="27" customHeight="1" x14ac:dyDescent="0.25">
      <c r="A38" s="234"/>
      <c r="B38" s="233"/>
      <c r="C38" s="236"/>
      <c r="D38" s="232"/>
      <c r="E38" s="233"/>
      <c r="F38" s="233"/>
    </row>
    <row r="39" spans="1:11" ht="18.75" customHeight="1" x14ac:dyDescent="0.25">
      <c r="A39" s="234"/>
      <c r="B39" s="233"/>
      <c r="C39" s="237"/>
      <c r="D39" s="232"/>
      <c r="E39" s="233"/>
      <c r="F39" s="233"/>
    </row>
    <row r="40" spans="1:11" ht="18.75" customHeight="1" x14ac:dyDescent="0.25">
      <c r="A40" s="234"/>
      <c r="B40" s="233"/>
      <c r="C40" s="237"/>
      <c r="D40" s="232"/>
      <c r="E40" s="233"/>
      <c r="F40" s="233"/>
    </row>
    <row r="41" spans="1:11" x14ac:dyDescent="0.25">
      <c r="A41" s="231"/>
      <c r="B41" s="238"/>
      <c r="C41" s="232"/>
      <c r="D41" s="232"/>
      <c r="E41" s="233"/>
      <c r="F41" s="233"/>
    </row>
    <row r="42" spans="1:11" s="181" customFormat="1" x14ac:dyDescent="0.25">
      <c r="A42" s="239"/>
      <c r="B42" s="238"/>
      <c r="C42" s="240"/>
      <c r="D42" s="240"/>
      <c r="E42" s="241"/>
      <c r="F42" s="241"/>
    </row>
    <row r="43" spans="1:11" x14ac:dyDescent="0.25">
      <c r="A43" s="242"/>
      <c r="B43" s="242"/>
      <c r="C43" s="242"/>
      <c r="D43" s="242"/>
      <c r="E43" s="242"/>
      <c r="F43" s="242"/>
    </row>
    <row r="44" spans="1:11" ht="18.75" x14ac:dyDescent="0.3">
      <c r="C44" s="149"/>
    </row>
  </sheetData>
  <sheetProtection algorithmName="SHA-512" hashValue="XWyyRlAfimlqYJhkzPzlNFx6gY/jw1QqMjQPV8Y66ein7CLyThFZn2Pr1wP2UuxhjWLIdAkKsI1CIMtGCRgydQ==" saltValue="srMay4qtoYN72fmqBPffIw==" spinCount="100000" sheet="1" selectLockedCells="1"/>
  <customSheetViews>
    <customSheetView guid="{54055508-3439-4A0A-A803-01A23ABF8DBD}" topLeftCell="A10">
      <selection activeCell="D30" sqref="D30"/>
      <pageMargins left="0.7" right="0.7" top="0.75" bottom="0.75" header="0.3" footer="0.3"/>
      <pageSetup paperSize="9" orientation="portrait" r:id="rId1"/>
    </customSheetView>
    <customSheetView guid="{7084DC93-B2BE-4098-87E1-DAC5FBCE0E0A}" topLeftCell="A10">
      <selection activeCell="C32" sqref="C32"/>
      <pageMargins left="0.7" right="0.7" top="0.75" bottom="0.75" header="0.3" footer="0.3"/>
      <pageSetup paperSize="9" orientation="portrait" r:id="rId2"/>
    </customSheetView>
    <customSheetView guid="{37BC2192-ABF8-4439-93C4-8E65E7EF90F5}" topLeftCell="A10">
      <selection activeCell="C32" sqref="C32"/>
      <pageMargins left="0.7" right="0.7" top="0.75" bottom="0.75" header="0.3" footer="0.3"/>
      <pageSetup paperSize="9" orientation="portrait" r:id="rId3"/>
    </customSheetView>
    <customSheetView guid="{1283C6B5-B05C-447B-8854-CDB081C03FD4}" scale="80" topLeftCell="A16">
      <selection activeCell="C32" sqref="C32"/>
      <pageMargins left="0.7" right="0.7" top="0.75" bottom="0.75" header="0.3" footer="0.3"/>
      <pageSetup paperSize="9" orientation="portrait" r:id="rId4"/>
    </customSheetView>
    <customSheetView guid="{F170D8DF-3539-4353-BD8B-1F5EB452DAE5}" topLeftCell="A7">
      <selection activeCell="C16" sqref="C16"/>
      <pageMargins left="0.7" right="0.7" top="0.75" bottom="0.75" header="0.3" footer="0.3"/>
      <pageSetup paperSize="9" orientation="portrait" r:id="rId5"/>
    </customSheetView>
    <customSheetView guid="{F727610F-D041-4412-A81F-AFD013C44971}">
      <selection activeCell="C16" sqref="C16"/>
      <pageMargins left="0.7" right="0.7" top="0.75" bottom="0.75" header="0.3" footer="0.3"/>
      <pageSetup paperSize="9" orientation="portrait" r:id="rId6"/>
    </customSheetView>
    <customSheetView guid="{46AB9545-8BEE-4A2F-B820-9F80AC24A11B}">
      <selection activeCell="D15" sqref="D15"/>
      <pageMargins left="0.7" right="0.7" top="0.75" bottom="0.75" header="0.3" footer="0.3"/>
      <pageSetup paperSize="9" orientation="portrait" r:id="rId7"/>
    </customSheetView>
    <customSheetView guid="{E5349645-7714-4437-B9BC-26ED822E5BC5}">
      <selection activeCell="C16" sqref="C16"/>
      <pageMargins left="0.7" right="0.7" top="0.75" bottom="0.75" header="0.3" footer="0.3"/>
      <pageSetup paperSize="9" orientation="portrait" r:id="rId8"/>
    </customSheetView>
    <customSheetView guid="{43EFFC0A-CCC0-43DD-A273-4AF58757EC00}">
      <selection activeCell="D15" sqref="D15"/>
      <pageMargins left="0.7" right="0.7" top="0.75" bottom="0.75" header="0.3" footer="0.3"/>
      <pageSetup paperSize="9" orientation="portrait" r:id="rId9"/>
    </customSheetView>
    <customSheetView guid="{7AE955BB-7BF8-4CA4-ABF1-6A0BB53A48AD}">
      <selection activeCell="E15" sqref="E15"/>
      <pageMargins left="0.7" right="0.7" top="0.75" bottom="0.75" header="0.3" footer="0.3"/>
      <pageSetup paperSize="9" orientation="portrait" r:id="rId10"/>
    </customSheetView>
    <customSheetView guid="{BB9ED292-532F-438C-A4A6-F8D66D70E0E7}" topLeftCell="A2">
      <selection activeCell="G20" sqref="G20"/>
      <pageMargins left="0.7" right="0.7" top="0.75" bottom="0.75" header="0.3" footer="0.3"/>
      <pageSetup paperSize="9" orientation="portrait" r:id="rId11"/>
    </customSheetView>
    <customSheetView guid="{726FF687-50E0-4F8A-BCCB-6DA9E6D367D4}" topLeftCell="A2">
      <selection activeCell="G20" sqref="G20"/>
      <pageMargins left="0.7" right="0.7" top="0.75" bottom="0.75" header="0.3" footer="0.3"/>
      <pageSetup paperSize="9" orientation="portrait" r:id="rId12"/>
    </customSheetView>
    <customSheetView guid="{B76C0EA9-E79B-4DA2-9ADE-66DB47109F8F}" topLeftCell="A2">
      <selection activeCell="G20" sqref="G20"/>
      <pageMargins left="0.7" right="0.7" top="0.75" bottom="0.75" header="0.3" footer="0.3"/>
      <pageSetup paperSize="9" orientation="portrait" r:id="rId13"/>
    </customSheetView>
    <customSheetView guid="{1241DC17-BD41-46C5-9DB1-684763A09F24}" topLeftCell="A13">
      <selection activeCell="A9" sqref="A9"/>
      <pageMargins left="0.7" right="0.7" top="0.75" bottom="0.75" header="0.3" footer="0.3"/>
      <pageSetup paperSize="9" orientation="portrait" r:id="rId14"/>
    </customSheetView>
    <customSheetView guid="{C1FECEF4-D739-4F39-9B89-CF4C04A77A9B}" topLeftCell="A2">
      <selection activeCell="G20" sqref="G20"/>
      <pageMargins left="0.7" right="0.7" top="0.75" bottom="0.75" header="0.3" footer="0.3"/>
      <pageSetup paperSize="9" orientation="portrait" r:id="rId15"/>
    </customSheetView>
    <customSheetView guid="{83C69039-3E29-46E1-85FB-B9165E0BFA91}" topLeftCell="A13">
      <selection activeCell="A9" sqref="A9"/>
      <pageMargins left="0.7" right="0.7" top="0.75" bottom="0.75" header="0.3" footer="0.3"/>
      <pageSetup paperSize="9" orientation="portrait" r:id="rId16"/>
    </customSheetView>
    <customSheetView guid="{F38A39FA-EF57-4062-A2AD-F3BEB88C5762}">
      <selection activeCell="D15" sqref="D15"/>
      <pageMargins left="0.7" right="0.7" top="0.75" bottom="0.75" header="0.3" footer="0.3"/>
      <pageSetup paperSize="9" orientation="portrait" r:id="rId17"/>
    </customSheetView>
    <customSheetView guid="{749D43A3-052D-442F-AE88-F6CCB83A1282}">
      <selection activeCell="C29" sqref="C29"/>
      <pageMargins left="0.7" right="0.7" top="0.75" bottom="0.75" header="0.3" footer="0.3"/>
      <pageSetup paperSize="9" orientation="portrait" r:id="rId18"/>
    </customSheetView>
    <customSheetView guid="{AC2983A2-F978-40B7-A196-35F34E705157}" topLeftCell="A2">
      <selection activeCell="F10" sqref="F10"/>
      <pageMargins left="0.7" right="0.7" top="0.75" bottom="0.75" header="0.3" footer="0.3"/>
      <pageSetup paperSize="9" orientation="portrait" r:id="rId19"/>
    </customSheetView>
    <customSheetView guid="{2A2C752C-8C42-4F9A-A40C-FE7F7014F210}" topLeftCell="A10">
      <selection activeCell="C32" sqref="C32"/>
      <pageMargins left="0.7" right="0.7" top="0.75" bottom="0.75" header="0.3" footer="0.3"/>
      <pageSetup paperSize="9" orientation="portrait" r:id="rId20"/>
    </customSheetView>
    <customSheetView guid="{0E885D9C-CD7C-4655-8709-41793617E0A7}" topLeftCell="A10">
      <selection activeCell="C32" sqref="C32"/>
      <pageMargins left="0.7" right="0.7" top="0.75" bottom="0.75" header="0.3" footer="0.3"/>
      <pageSetup paperSize="9" orientation="portrait" r:id="rId21"/>
    </customSheetView>
    <customSheetView guid="{CB7E9FB3-C7A3-44DE-98E4-19C23B487785}" topLeftCell="A10">
      <selection activeCell="D30" sqref="D30"/>
      <pageMargins left="0.7" right="0.7" top="0.75" bottom="0.75" header="0.3" footer="0.3"/>
      <pageSetup paperSize="9" orientation="portrait" r:id="rId22"/>
    </customSheetView>
  </customSheetViews>
  <pageMargins left="0.7" right="0.7" top="0.75" bottom="0.75" header="0.3" footer="0.3"/>
  <pageSetup paperSize="9" orientation="portrait" r:id="rId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="70" zoomScaleNormal="70" workbookViewId="0">
      <selection activeCell="B12" sqref="B12"/>
    </sheetView>
  </sheetViews>
  <sheetFormatPr defaultColWidth="11.42578125" defaultRowHeight="23.25" x14ac:dyDescent="0.35"/>
  <cols>
    <col min="1" max="1" width="42.42578125" style="91" customWidth="1"/>
    <col min="2" max="2" width="22.140625" style="91" customWidth="1"/>
    <col min="3" max="4" width="18.140625" style="91" bestFit="1" customWidth="1"/>
    <col min="5" max="5" width="24" style="91" bestFit="1" customWidth="1"/>
    <col min="6" max="6" width="18.140625" style="91" bestFit="1" customWidth="1"/>
    <col min="7" max="7" width="24" style="91" bestFit="1" customWidth="1"/>
    <col min="8" max="8" width="15.5703125" style="91" bestFit="1" customWidth="1"/>
    <col min="9" max="9" width="15.5703125" style="91" customWidth="1"/>
    <col min="10" max="256" width="9.140625" style="91" customWidth="1"/>
    <col min="257" max="16384" width="11.42578125" style="91"/>
  </cols>
  <sheetData>
    <row r="1" spans="1:9" x14ac:dyDescent="0.35">
      <c r="A1" s="96"/>
      <c r="B1" s="371">
        <v>2021</v>
      </c>
      <c r="C1" s="372"/>
      <c r="D1" s="372"/>
      <c r="E1" s="373"/>
      <c r="F1" s="374">
        <v>2020</v>
      </c>
      <c r="G1" s="374"/>
      <c r="H1" s="212"/>
      <c r="I1" s="213"/>
    </row>
    <row r="2" spans="1:9" ht="69.75" x14ac:dyDescent="0.35">
      <c r="A2" s="210" t="s">
        <v>54</v>
      </c>
      <c r="B2" s="211" t="s">
        <v>59</v>
      </c>
      <c r="C2" s="211" t="s">
        <v>60</v>
      </c>
      <c r="D2" s="93" t="s">
        <v>7</v>
      </c>
      <c r="E2" s="93" t="s">
        <v>62</v>
      </c>
      <c r="F2" s="93" t="s">
        <v>7</v>
      </c>
      <c r="G2" s="93" t="s">
        <v>62</v>
      </c>
      <c r="H2" s="211" t="s">
        <v>361</v>
      </c>
      <c r="I2" s="211" t="s">
        <v>352</v>
      </c>
    </row>
    <row r="3" spans="1:9" x14ac:dyDescent="0.35">
      <c r="A3" s="92" t="s">
        <v>209</v>
      </c>
      <c r="B3" s="94">
        <f>'1. studieår'!T28+'1. studieår'!T31+'1. studieår'!T30</f>
        <v>3590</v>
      </c>
      <c r="C3" s="94">
        <f>'1. studieår'!AE28-'1. studieår'!T28</f>
        <v>445.14285714285688</v>
      </c>
      <c r="D3" s="94">
        <f>'1. studieår'!AF28+'1. studieår'!U32</f>
        <v>5701335.8719999995</v>
      </c>
      <c r="E3" s="94">
        <f>D3*0.37</f>
        <v>2109494.2726399996</v>
      </c>
      <c r="F3" s="95">
        <f>'[1]Oppsummering '!$D$3</f>
        <v>5743335.8719999995</v>
      </c>
      <c r="G3" s="94">
        <f>F3*0.37</f>
        <v>2125034.2726399996</v>
      </c>
      <c r="H3" s="94">
        <f>B3+C3</f>
        <v>4035.1428571428569</v>
      </c>
      <c r="I3" s="94">
        <f>'[2]Oppsummering '!$H$3</f>
        <v>4097.2380952380954</v>
      </c>
    </row>
    <row r="4" spans="1:9" x14ac:dyDescent="0.35">
      <c r="A4" s="92" t="s">
        <v>55</v>
      </c>
      <c r="B4" s="94">
        <f>'2. studieår'!O30</f>
        <v>1496.5</v>
      </c>
      <c r="C4" s="94">
        <f>'2. studieår'!W30-'2. studieår'!O30</f>
        <v>167.0857142857144</v>
      </c>
      <c r="D4" s="94">
        <f>'2. studieår'!X30</f>
        <v>3065130</v>
      </c>
      <c r="E4" s="94">
        <f>D4*0.47</f>
        <v>1440611.0999999999</v>
      </c>
      <c r="F4" s="95">
        <f>'[1]Oppsummering '!$D$4</f>
        <v>3300330</v>
      </c>
      <c r="G4" s="94">
        <f>F4*0.47</f>
        <v>1551155.0999999999</v>
      </c>
      <c r="H4" s="94">
        <f>B4+C4</f>
        <v>1663.5857142857144</v>
      </c>
      <c r="I4" s="94">
        <f>'[2]Oppsummering '!$H$4</f>
        <v>1775.5857142857144</v>
      </c>
    </row>
    <row r="5" spans="1:9" x14ac:dyDescent="0.35">
      <c r="A5" s="92" t="s">
        <v>56</v>
      </c>
      <c r="B5" s="94">
        <f>'3. studieår'!P24</f>
        <v>1311</v>
      </c>
      <c r="C5" s="94">
        <f>'3. studieår'!AA24-'3. studieår'!P24</f>
        <v>313.28571428571422</v>
      </c>
      <c r="D5" s="94">
        <f>'3. studieår'!AB24</f>
        <v>3411000</v>
      </c>
      <c r="E5" s="94">
        <f>D5*0.4</f>
        <v>1364400</v>
      </c>
      <c r="F5" s="95">
        <f>'[1]Oppsummering '!$D$5</f>
        <v>3331600</v>
      </c>
      <c r="G5" s="94">
        <f>F5*0.62</f>
        <v>2065592</v>
      </c>
      <c r="H5" s="94">
        <f>B5+C5</f>
        <v>1624.2857142857142</v>
      </c>
      <c r="I5" s="94">
        <f>'[2]Oppsummering '!$H$5</f>
        <v>1570.4761904761904</v>
      </c>
    </row>
    <row r="6" spans="1:9" x14ac:dyDescent="0.35">
      <c r="A6" s="92" t="s">
        <v>57</v>
      </c>
      <c r="B6" s="94">
        <f>'4. studieår'!P30</f>
        <v>1314</v>
      </c>
      <c r="C6" s="94">
        <f>'4. studieår'!AE30-'4. studieår'!P30</f>
        <v>275.23809523809564</v>
      </c>
      <c r="D6" s="94">
        <f>'4. studieår'!AF30</f>
        <v>3295400</v>
      </c>
      <c r="E6" s="94">
        <f>D6*0.57</f>
        <v>1878377.9999999998</v>
      </c>
      <c r="F6" s="95">
        <f>'[1]Oppsummering '!$D$6</f>
        <v>2732750</v>
      </c>
      <c r="G6" s="94">
        <f>F6*0.57</f>
        <v>1557667.4999999998</v>
      </c>
      <c r="H6" s="94">
        <f>B6+C6</f>
        <v>1589.2380952380956</v>
      </c>
      <c r="I6" s="94">
        <f>'[2]Oppsummering '!$H$6</f>
        <v>1321.3095238095239</v>
      </c>
    </row>
    <row r="7" spans="1:9" x14ac:dyDescent="0.35">
      <c r="A7" s="92" t="s">
        <v>49</v>
      </c>
      <c r="B7" s="94">
        <f>Valgemner!F76</f>
        <v>1488</v>
      </c>
      <c r="C7" s="94"/>
      <c r="D7" s="94">
        <f>Valgemner!G76</f>
        <v>2284800</v>
      </c>
      <c r="E7" s="94">
        <f>Valgemner!J76</f>
        <v>374976</v>
      </c>
      <c r="F7" s="95">
        <f>'[1]Oppsummering '!$D$7</f>
        <v>2268000</v>
      </c>
      <c r="G7" s="94">
        <f>F7*0.2</f>
        <v>453600</v>
      </c>
      <c r="H7" s="94">
        <f>B7+C7</f>
        <v>1488</v>
      </c>
      <c r="I7" s="94">
        <f>'[2]Oppsummering '!$H$7</f>
        <v>1480</v>
      </c>
    </row>
    <row r="8" spans="1:9" x14ac:dyDescent="0.35">
      <c r="A8" s="92"/>
      <c r="B8" s="94"/>
      <c r="C8" s="94"/>
      <c r="D8" s="94"/>
      <c r="E8" s="94"/>
      <c r="F8" s="94"/>
      <c r="H8" s="94"/>
      <c r="I8" s="94"/>
    </row>
    <row r="9" spans="1:9" x14ac:dyDescent="0.35">
      <c r="A9" s="92" t="s">
        <v>50</v>
      </c>
      <c r="B9" s="94"/>
      <c r="C9" s="94"/>
      <c r="D9" s="94">
        <f>Diverse!C4</f>
        <v>500000</v>
      </c>
      <c r="E9" s="94">
        <f>D9*0.3</f>
        <v>150000</v>
      </c>
      <c r="F9" s="94">
        <f>'[1]Oppsummering '!$D$9</f>
        <v>500000</v>
      </c>
      <c r="G9" s="94">
        <f>F9*0.3</f>
        <v>150000</v>
      </c>
      <c r="H9" s="94"/>
      <c r="I9" s="94"/>
    </row>
    <row r="10" spans="1:9" x14ac:dyDescent="0.35">
      <c r="A10" s="92" t="s">
        <v>243</v>
      </c>
      <c r="B10" s="94"/>
      <c r="C10" s="94"/>
      <c r="D10" s="94">
        <f>Diverse!C5</f>
        <v>114000</v>
      </c>
      <c r="E10" s="94">
        <f>Diverse!F27</f>
        <v>51000</v>
      </c>
      <c r="F10" s="94">
        <f>'[1]Oppsummering '!$D$10</f>
        <v>156000</v>
      </c>
      <c r="G10" s="94">
        <f>F10*0.2</f>
        <v>31200</v>
      </c>
      <c r="H10" s="94"/>
      <c r="I10" s="94"/>
    </row>
    <row r="11" spans="1:9" x14ac:dyDescent="0.35">
      <c r="A11" s="92" t="s">
        <v>51</v>
      </c>
      <c r="B11" s="94"/>
      <c r="C11" s="94"/>
      <c r="D11" s="94">
        <f>Diverse!C6</f>
        <v>121800</v>
      </c>
      <c r="E11" s="94">
        <f>D11*0.3</f>
        <v>36540</v>
      </c>
      <c r="F11" s="94">
        <f>'[1]Oppsummering '!$D$11</f>
        <v>216300</v>
      </c>
      <c r="G11" s="94">
        <f>F11*0.3</f>
        <v>64890</v>
      </c>
      <c r="H11" s="94"/>
      <c r="I11" s="94"/>
    </row>
    <row r="12" spans="1:9" x14ac:dyDescent="0.35">
      <c r="A12" s="92" t="s">
        <v>52</v>
      </c>
      <c r="B12" s="301">
        <f>(350*15/5)+(45*30/5)</f>
        <v>1320</v>
      </c>
      <c r="C12" s="94"/>
      <c r="D12" s="94">
        <f>B12*324.6*5</f>
        <v>2142360.0000000005</v>
      </c>
      <c r="E12" s="94">
        <f>D12*Diverse!F7</f>
        <v>1285416.0000000002</v>
      </c>
      <c r="F12" s="94">
        <f>'[1]Oppsummering '!$D$12</f>
        <v>2142360.0000000005</v>
      </c>
      <c r="G12" s="94">
        <f>F12*0.7</f>
        <v>1499652.0000000002</v>
      </c>
      <c r="H12" s="163"/>
      <c r="I12" s="163"/>
    </row>
    <row r="13" spans="1:9" x14ac:dyDescent="0.35">
      <c r="A13" s="92" t="s">
        <v>53</v>
      </c>
      <c r="B13" s="94"/>
      <c r="C13" s="94"/>
      <c r="D13" s="94">
        <f>Diverse!C8</f>
        <v>249500</v>
      </c>
      <c r="E13" s="94">
        <f>D13*0.3</f>
        <v>74850</v>
      </c>
      <c r="F13" s="94">
        <f>'[1]Oppsummering '!$D$13</f>
        <v>249500</v>
      </c>
      <c r="G13" s="94">
        <f>F13*0.3</f>
        <v>74850</v>
      </c>
      <c r="H13" s="94"/>
      <c r="I13" s="94"/>
    </row>
    <row r="14" spans="1:9" x14ac:dyDescent="0.35">
      <c r="A14" s="92" t="s">
        <v>346</v>
      </c>
      <c r="B14" s="94"/>
      <c r="C14" s="94"/>
      <c r="D14" s="94">
        <f>Diverse!C9</f>
        <v>100000</v>
      </c>
      <c r="E14" s="94">
        <f>D14*0.3</f>
        <v>30000</v>
      </c>
      <c r="F14" s="94">
        <f>D14</f>
        <v>100000</v>
      </c>
      <c r="G14" s="94">
        <f>F14*0.3</f>
        <v>30000</v>
      </c>
      <c r="H14" s="94"/>
      <c r="I14" s="94"/>
    </row>
    <row r="15" spans="1:9" x14ac:dyDescent="0.35">
      <c r="A15" s="188" t="s">
        <v>199</v>
      </c>
      <c r="B15" s="94"/>
      <c r="C15" s="94"/>
      <c r="D15" s="94">
        <f>Diverse!C10</f>
        <v>364900</v>
      </c>
      <c r="E15" s="94">
        <f>D15*Diverse!F10</f>
        <v>36490</v>
      </c>
      <c r="F15" s="94">
        <f>'[1]Oppsummering '!$D$14</f>
        <v>100000</v>
      </c>
      <c r="G15" s="94">
        <f>F15*0.4</f>
        <v>40000</v>
      </c>
      <c r="H15" s="94"/>
      <c r="I15" s="94"/>
    </row>
    <row r="16" spans="1:9" x14ac:dyDescent="0.35">
      <c r="A16" s="188" t="s">
        <v>345</v>
      </c>
      <c r="B16" s="94"/>
      <c r="C16" s="94"/>
      <c r="D16" s="94">
        <f>Diverse!C11</f>
        <v>0</v>
      </c>
      <c r="E16" s="94">
        <f>Diverse!F18</f>
        <v>0</v>
      </c>
      <c r="F16" s="94">
        <v>0</v>
      </c>
      <c r="G16" s="94">
        <v>0</v>
      </c>
      <c r="H16" s="94"/>
      <c r="I16" s="94"/>
    </row>
    <row r="17" spans="1:9" x14ac:dyDescent="0.35">
      <c r="A17" s="188" t="s">
        <v>347</v>
      </c>
      <c r="B17" s="94"/>
      <c r="C17" s="94"/>
      <c r="D17" s="94">
        <f>Diverse!C12</f>
        <v>49680</v>
      </c>
      <c r="E17" s="94">
        <f>D17*Diverse!F19</f>
        <v>9936</v>
      </c>
      <c r="F17" s="94">
        <f>[1]Diverse!E16</f>
        <v>0</v>
      </c>
      <c r="G17" s="94">
        <f>F17*0.2</f>
        <v>0</v>
      </c>
      <c r="H17" s="94"/>
      <c r="I17" s="94"/>
    </row>
    <row r="18" spans="1:9" x14ac:dyDescent="0.35">
      <c r="A18" s="188" t="str">
        <f>Diverse!A20</f>
        <v>TULSA og andre tiltak</v>
      </c>
      <c r="B18" s="94"/>
      <c r="C18" s="94"/>
      <c r="D18" s="94">
        <f>Diverse!C13</f>
        <v>376320</v>
      </c>
      <c r="E18" s="94"/>
      <c r="F18" s="94">
        <f>'[1]Oppsummering '!$D$15</f>
        <v>364900</v>
      </c>
      <c r="G18" s="94"/>
      <c r="H18" s="94"/>
      <c r="I18" s="94"/>
    </row>
    <row r="19" spans="1:9" x14ac:dyDescent="0.35">
      <c r="A19" s="164" t="s">
        <v>61</v>
      </c>
      <c r="B19" s="92"/>
      <c r="C19" s="92"/>
      <c r="D19" s="216">
        <f>SUM(D3:D18)</f>
        <v>21776225.872000001</v>
      </c>
      <c r="E19" s="216">
        <f>SUM(E3:E18)</f>
        <v>8842091.3726400007</v>
      </c>
      <c r="F19" s="216">
        <f>SUM(F3:F18)</f>
        <v>21205075.872000001</v>
      </c>
      <c r="G19" s="216">
        <f>SUM(G3:G18)</f>
        <v>9643640.8726400007</v>
      </c>
      <c r="H19" s="92"/>
      <c r="I19" s="92"/>
    </row>
    <row r="20" spans="1:9" x14ac:dyDescent="0.35">
      <c r="D20" s="244"/>
      <c r="F20" s="244"/>
    </row>
    <row r="21" spans="1:9" x14ac:dyDescent="0.35">
      <c r="A21" s="91" t="s">
        <v>210</v>
      </c>
    </row>
  </sheetData>
  <sheetProtection algorithmName="SHA-512" hashValue="Px/F3C5UO0UjOl6x6myqzA9WSUgSvSamOBv5NK1r0a9twCHB1hh3m43WalUmUvx72Gk6q6Biy7tcoZZWGjqWOQ==" saltValue="g4tu0g4DsyS2eShfvJHJSg==" spinCount="100000" sheet="1" selectLockedCells="1"/>
  <customSheetViews>
    <customSheetView guid="{54055508-3439-4A0A-A803-01A23ABF8DBD}" scale="7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"/>
      <headerFooter>
        <oddHeader>&amp;CUndervisningsbudsjett 2013 oppsummert</oddHeader>
      </headerFooter>
    </customSheetView>
    <customSheetView guid="{7084DC93-B2BE-4098-87E1-DAC5FBCE0E0A}" scale="7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2"/>
      <headerFooter>
        <oddHeader>&amp;CUndervisningsbudsjett 2013 oppsummert</oddHeader>
      </headerFooter>
    </customSheetView>
    <customSheetView guid="{37BC2192-ABF8-4439-93C4-8E65E7EF90F5}" scale="7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3"/>
      <headerFooter>
        <oddHeader>&amp;CUndervisningsbudsjett 2013 oppsummert</oddHeader>
      </headerFooter>
    </customSheetView>
    <customSheetView guid="{1283C6B5-B05C-447B-8854-CDB081C03FD4}" scale="7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4"/>
      <headerFooter>
        <oddHeader>&amp;CUndervisningsbudsjett 2013 oppsummert</oddHeader>
      </headerFooter>
    </customSheetView>
    <customSheetView guid="{F170D8DF-3539-4353-BD8B-1F5EB452DAE5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5"/>
      <headerFooter>
        <oddHeader>&amp;CUndervisningsbudsjett 2013 oppsummert</oddHeader>
      </headerFooter>
    </customSheetView>
    <customSheetView guid="{F727610F-D041-4412-A81F-AFD013C44971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6"/>
      <headerFooter>
        <oddHeader>&amp;CUndervisningsbudsjett 2013 oppsummert</oddHeader>
      </headerFooter>
    </customSheetView>
    <customSheetView guid="{46AB9545-8BEE-4A2F-B820-9F80AC24A11B}" scale="80" fitToPage="1" topLeftCell="A16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7"/>
      <headerFooter>
        <oddHeader>&amp;CUndervisningsbudsjett 2013 oppsummert</oddHeader>
      </headerFooter>
    </customSheetView>
    <customSheetView guid="{E5349645-7714-4437-B9BC-26ED822E5BC5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8"/>
      <headerFooter>
        <oddHeader>&amp;CUndervisningsbudsjett 2013 oppsummert</oddHeader>
      </headerFooter>
    </customSheetView>
    <customSheetView guid="{43EFFC0A-CCC0-43DD-A273-4AF58757EC00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9"/>
      <headerFooter>
        <oddHeader>&amp;CUndervisningsbudsjett 2013 oppsummert</oddHeader>
      </headerFooter>
    </customSheetView>
    <customSheetView guid="{7AE955BB-7BF8-4CA4-ABF1-6A0BB53A48AD}" scale="80" fitToPage="1">
      <selection activeCell="F16" sqref="F16"/>
      <pageMargins left="0.70866141732283472" right="0.70866141732283472" top="0.78740157480314965" bottom="0.78740157480314965" header="0.31496062992125984" footer="0.31496062992125984"/>
      <pageSetup paperSize="9" scale="85" orientation="portrait" r:id="rId10"/>
      <headerFooter>
        <oddHeader>&amp;CUndervisningsbudsjett 2013 oppsummert</oddHeader>
      </headerFooter>
    </customSheetView>
    <customSheetView guid="{BB9ED292-532F-438C-A4A6-F8D66D70E0E7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1"/>
      <headerFooter>
        <oddHeader>&amp;CUndervisningsbudsjett 2013 oppsummert</oddHeader>
      </headerFooter>
    </customSheetView>
    <customSheetView guid="{726FF687-50E0-4F8A-BCCB-6DA9E6D367D4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2"/>
      <headerFooter>
        <oddHeader>&amp;CUndervisningsbudsjett 2013 oppsummert</oddHeader>
      </headerFooter>
    </customSheetView>
    <customSheetView guid="{B76C0EA9-E79B-4DA2-9ADE-66DB47109F8F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3"/>
      <headerFooter>
        <oddHeader>&amp;CUndervisningsbudsjett 2013 oppsummert</oddHeader>
      </headerFooter>
    </customSheetView>
    <customSheetView guid="{91227156-ECBD-48FD-8964-78F3608400FC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4"/>
      <headerFooter>
        <oddHeader>&amp;CUndervisningsbudsjett 2013 oppsummert</oddHeader>
      </headerFooter>
    </customSheetView>
    <customSheetView guid="{1241DC17-BD41-46C5-9DB1-684763A09F24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59" orientation="landscape" r:id="rId15"/>
      <headerFooter>
        <oddHeader>&amp;CUndervisningsbudsjett 2013 oppsummert</oddHeader>
      </headerFooter>
    </customSheetView>
    <customSheetView guid="{C1FECEF4-D739-4F39-9B89-CF4C04A77A9B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6"/>
      <headerFooter>
        <oddHeader>&amp;CUndervisningsbudsjett 2013 oppsummert</oddHeader>
      </headerFooter>
    </customSheetView>
    <customSheetView guid="{83C69039-3E29-46E1-85FB-B9165E0BFA91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59" orientation="landscape" r:id="rId17"/>
      <headerFooter>
        <oddHeader>&amp;CUndervisningsbudsjett 2013 oppsummert</oddHeader>
      </headerFooter>
    </customSheetView>
    <customSheetView guid="{F38A39FA-EF57-4062-A2AD-F3BEB88C5762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8"/>
      <headerFooter>
        <oddHeader>&amp;CUndervisningsbudsjett 2013 oppsummert</oddHeader>
      </headerFooter>
    </customSheetView>
    <customSheetView guid="{749D43A3-052D-442F-AE88-F6CCB83A1282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9"/>
      <headerFooter>
        <oddHeader>&amp;CUndervisningsbudsjett 2013 oppsummert</oddHeader>
      </headerFooter>
    </customSheetView>
    <customSheetView guid="{AC2983A2-F978-40B7-A196-35F34E705157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20"/>
      <headerFooter>
        <oddHeader>&amp;CUndervisningsbudsjett 2013 oppsummert</oddHeader>
      </headerFooter>
    </customSheetView>
    <customSheetView guid="{2A2C752C-8C42-4F9A-A40C-FE7F7014F210}" scale="7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21"/>
      <headerFooter>
        <oddHeader>&amp;CUndervisningsbudsjett 2013 oppsummert</oddHeader>
      </headerFooter>
    </customSheetView>
    <customSheetView guid="{0E885D9C-CD7C-4655-8709-41793617E0A7}" scale="7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22"/>
      <headerFooter>
        <oddHeader>&amp;CUndervisningsbudsjett 2013 oppsummert</oddHeader>
      </headerFooter>
    </customSheetView>
    <customSheetView guid="{CB7E9FB3-C7A3-44DE-98E4-19C23B487785}" scale="7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23"/>
      <headerFooter>
        <oddHeader>&amp;CUndervisningsbudsjett 2013 oppsummert</oddHeader>
      </headerFooter>
    </customSheetView>
  </customSheetViews>
  <mergeCells count="2">
    <mergeCell ref="B1:E1"/>
    <mergeCell ref="F1:G1"/>
  </mergeCells>
  <pageMargins left="0.70866141732283472" right="0.70866141732283472" top="0.78740157480314965" bottom="0.78740157480314965" header="0.31496062992125984" footer="0.31496062992125984"/>
  <pageSetup paperSize="9" scale="45" orientation="portrait" r:id="rId24"/>
  <headerFooter>
    <oddHeader>&amp;CUndervisningsbudsjett 2013 oppsummert</oddHeader>
  </headerFooter>
  <drawing r:id="rId2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7"/>
  <sheetViews>
    <sheetView workbookViewId="0">
      <selection activeCell="L25" sqref="L25"/>
    </sheetView>
  </sheetViews>
  <sheetFormatPr defaultColWidth="11.42578125" defaultRowHeight="15" x14ac:dyDescent="0.25"/>
  <cols>
    <col min="1" max="8" width="9.140625" customWidth="1"/>
    <col min="9" max="9" width="34.85546875" bestFit="1" customWidth="1"/>
    <col min="10" max="256" width="9.140625" customWidth="1"/>
  </cols>
  <sheetData>
    <row r="1" spans="1:18" x14ac:dyDescent="0.25">
      <c r="A1" s="31"/>
      <c r="B1" s="32"/>
      <c r="C1" s="33"/>
      <c r="D1" s="32"/>
      <c r="E1" s="32"/>
      <c r="F1" s="32"/>
      <c r="G1" s="32"/>
      <c r="H1" s="34"/>
      <c r="I1" s="35"/>
      <c r="J1" s="36"/>
      <c r="K1" s="37" t="s">
        <v>63</v>
      </c>
      <c r="L1" s="38"/>
      <c r="M1" s="38"/>
      <c r="N1" s="38"/>
      <c r="O1" s="38"/>
      <c r="P1" s="38"/>
      <c r="Q1" s="38"/>
      <c r="R1" s="38"/>
    </row>
    <row r="2" spans="1:18" x14ac:dyDescent="0.25">
      <c r="A2" s="39"/>
      <c r="B2" s="40"/>
      <c r="C2" s="39"/>
      <c r="D2" s="39"/>
      <c r="E2" s="39"/>
      <c r="F2" s="39"/>
      <c r="G2" s="41"/>
      <c r="H2" s="35"/>
      <c r="I2" s="32"/>
      <c r="J2" s="42" t="s">
        <v>65</v>
      </c>
      <c r="K2" s="43">
        <v>2019</v>
      </c>
      <c r="L2" s="43">
        <v>2020</v>
      </c>
      <c r="M2" s="43">
        <v>2021</v>
      </c>
      <c r="N2" s="43">
        <v>2022</v>
      </c>
      <c r="O2" s="43">
        <v>2023</v>
      </c>
      <c r="P2" s="43">
        <v>2024</v>
      </c>
      <c r="Q2" s="44"/>
      <c r="R2" s="32"/>
    </row>
    <row r="3" spans="1:18" ht="22.5" x14ac:dyDescent="0.25">
      <c r="A3" s="45" t="s">
        <v>66</v>
      </c>
      <c r="B3" s="45" t="s">
        <v>67</v>
      </c>
      <c r="C3" s="45" t="s">
        <v>68</v>
      </c>
      <c r="D3" s="45" t="s">
        <v>69</v>
      </c>
      <c r="E3" s="45" t="s">
        <v>70</v>
      </c>
      <c r="F3" s="45" t="s">
        <v>64</v>
      </c>
      <c r="G3" s="45" t="s">
        <v>71</v>
      </c>
      <c r="H3" s="45" t="s">
        <v>72</v>
      </c>
      <c r="I3" s="45" t="s">
        <v>73</v>
      </c>
      <c r="J3" s="46"/>
      <c r="K3" s="48" t="s">
        <v>74</v>
      </c>
      <c r="L3" s="47" t="s">
        <v>74</v>
      </c>
      <c r="M3" s="47" t="s">
        <v>74</v>
      </c>
      <c r="N3" s="47" t="s">
        <v>74</v>
      </c>
      <c r="O3" s="49" t="s">
        <v>74</v>
      </c>
      <c r="P3" s="49" t="s">
        <v>74</v>
      </c>
      <c r="Q3" s="44"/>
      <c r="R3" s="32"/>
    </row>
    <row r="4" spans="1:18" x14ac:dyDescent="0.25">
      <c r="A4" s="251">
        <v>120040</v>
      </c>
      <c r="B4" s="252">
        <v>0</v>
      </c>
      <c r="C4" s="54" t="s">
        <v>75</v>
      </c>
      <c r="D4" s="251"/>
      <c r="E4" s="251">
        <v>66</v>
      </c>
      <c r="F4" s="251"/>
      <c r="G4" s="253"/>
      <c r="H4" s="254"/>
      <c r="I4" s="51"/>
      <c r="J4" s="52"/>
      <c r="K4" s="53"/>
      <c r="L4" s="53">
        <f>'1. studieår'!AH29</f>
        <v>20</v>
      </c>
      <c r="M4" s="53"/>
      <c r="N4" s="53"/>
      <c r="O4" s="53"/>
      <c r="P4" s="53"/>
      <c r="Q4" s="44"/>
      <c r="R4" s="32"/>
    </row>
    <row r="5" spans="1:18" x14ac:dyDescent="0.25">
      <c r="A5" s="251">
        <v>120040</v>
      </c>
      <c r="B5" s="252">
        <v>0</v>
      </c>
      <c r="C5" s="54" t="s">
        <v>75</v>
      </c>
      <c r="D5" s="251"/>
      <c r="E5" s="251">
        <v>72</v>
      </c>
      <c r="F5" s="251"/>
      <c r="G5" s="253"/>
      <c r="H5" s="254"/>
      <c r="I5" s="55" t="s">
        <v>80</v>
      </c>
      <c r="J5" s="52"/>
      <c r="K5" s="53"/>
      <c r="L5" s="53">
        <f>'1. studieår'!T31</f>
        <v>1728</v>
      </c>
      <c r="M5" s="53"/>
      <c r="N5" s="53"/>
      <c r="O5" s="53"/>
      <c r="P5" s="53"/>
      <c r="Q5" s="44"/>
      <c r="R5" s="32"/>
    </row>
    <row r="6" spans="1:18" x14ac:dyDescent="0.25">
      <c r="A6" s="251">
        <v>120040</v>
      </c>
      <c r="B6" s="252">
        <v>0</v>
      </c>
      <c r="C6" s="54" t="s">
        <v>76</v>
      </c>
      <c r="D6" s="251"/>
      <c r="E6" s="251">
        <v>66</v>
      </c>
      <c r="F6" s="251"/>
      <c r="G6" s="253"/>
      <c r="H6" s="254"/>
      <c r="I6" s="51"/>
      <c r="J6" s="52"/>
      <c r="K6" s="53"/>
      <c r="L6" s="53" t="e">
        <f>'1. studieår'!AI29</f>
        <v>#DIV/0!</v>
      </c>
      <c r="M6" s="53"/>
      <c r="N6" s="53"/>
      <c r="O6" s="53"/>
      <c r="P6" s="53"/>
      <c r="Q6" s="44"/>
      <c r="R6" s="32"/>
    </row>
    <row r="7" spans="1:18" x14ac:dyDescent="0.25">
      <c r="A7" s="251">
        <v>120040</v>
      </c>
      <c r="B7" s="252">
        <v>0</v>
      </c>
      <c r="C7" s="54" t="s">
        <v>77</v>
      </c>
      <c r="D7" s="251"/>
      <c r="E7" s="251">
        <v>66</v>
      </c>
      <c r="F7" s="251"/>
      <c r="G7" s="253"/>
      <c r="H7" s="254"/>
      <c r="I7" s="51"/>
      <c r="J7" s="52"/>
      <c r="K7" s="53"/>
      <c r="L7" s="53">
        <f>'1. studieår'!AK29</f>
        <v>0</v>
      </c>
      <c r="M7" s="53"/>
      <c r="N7" s="53"/>
      <c r="O7" s="53"/>
      <c r="P7" s="53"/>
      <c r="Q7" s="44"/>
      <c r="R7" s="32"/>
    </row>
    <row r="8" spans="1:18" x14ac:dyDescent="0.25">
      <c r="A8" s="251">
        <v>120040</v>
      </c>
      <c r="B8" s="252">
        <v>0</v>
      </c>
      <c r="C8" s="54" t="s">
        <v>78</v>
      </c>
      <c r="D8" s="251"/>
      <c r="E8" s="251">
        <v>66</v>
      </c>
      <c r="F8" s="251"/>
      <c r="G8" s="253"/>
      <c r="H8" s="254"/>
      <c r="I8" s="51"/>
      <c r="J8" s="52"/>
      <c r="K8" s="53"/>
      <c r="L8" s="53">
        <f>'1. studieår'!AL29</f>
        <v>3380</v>
      </c>
      <c r="M8" s="53"/>
      <c r="N8" s="53"/>
      <c r="O8" s="53"/>
      <c r="P8" s="53"/>
      <c r="Q8" s="44"/>
      <c r="R8" s="32"/>
    </row>
    <row r="9" spans="1:18" x14ac:dyDescent="0.25">
      <c r="A9" s="251">
        <v>120040</v>
      </c>
      <c r="B9" s="252">
        <v>0</v>
      </c>
      <c r="C9" s="54" t="s">
        <v>79</v>
      </c>
      <c r="D9" s="251"/>
      <c r="E9" s="251">
        <v>66</v>
      </c>
      <c r="F9" s="251"/>
      <c r="G9" s="253"/>
      <c r="H9" s="254"/>
      <c r="I9" s="51"/>
      <c r="J9" s="52"/>
      <c r="K9" s="53"/>
      <c r="L9" s="53">
        <f>'1. studieår'!AM28</f>
        <v>0</v>
      </c>
      <c r="M9" s="53"/>
      <c r="N9" s="53"/>
      <c r="O9" s="53"/>
      <c r="P9" s="53"/>
      <c r="Q9" s="44"/>
      <c r="R9" s="32"/>
    </row>
    <row r="10" spans="1:18" x14ac:dyDescent="0.25">
      <c r="A10" s="251">
        <v>120040</v>
      </c>
      <c r="B10" s="252">
        <v>0</v>
      </c>
      <c r="C10" s="54" t="s">
        <v>81</v>
      </c>
      <c r="D10" s="251"/>
      <c r="E10" s="251">
        <v>66</v>
      </c>
      <c r="F10" s="251"/>
      <c r="G10" s="253"/>
      <c r="H10" s="254"/>
      <c r="I10" s="51"/>
      <c r="J10" s="52"/>
      <c r="K10" s="53"/>
      <c r="L10" s="53">
        <f>'2. studieår'!Z31</f>
        <v>60</v>
      </c>
      <c r="M10" s="53"/>
      <c r="N10" s="53"/>
      <c r="O10" s="53"/>
      <c r="P10" s="53"/>
      <c r="Q10" s="44"/>
      <c r="R10" s="32"/>
    </row>
    <row r="11" spans="1:18" x14ac:dyDescent="0.25">
      <c r="A11" s="251">
        <v>120040</v>
      </c>
      <c r="B11" s="252">
        <v>0</v>
      </c>
      <c r="C11" s="54" t="s">
        <v>82</v>
      </c>
      <c r="D11" s="251"/>
      <c r="E11" s="251">
        <v>66</v>
      </c>
      <c r="F11" s="251"/>
      <c r="G11" s="253"/>
      <c r="H11" s="254"/>
      <c r="I11" s="51"/>
      <c r="J11" s="52"/>
      <c r="K11" s="53"/>
      <c r="L11" s="53">
        <f>'2. studieår'!AA31</f>
        <v>2097.5</v>
      </c>
      <c r="M11" s="53"/>
      <c r="N11" s="53"/>
      <c r="O11" s="53"/>
      <c r="P11" s="53"/>
      <c r="Q11" s="44"/>
      <c r="R11" s="32"/>
    </row>
    <row r="12" spans="1:18" x14ac:dyDescent="0.25">
      <c r="A12" s="251">
        <v>120040</v>
      </c>
      <c r="B12" s="252">
        <v>0</v>
      </c>
      <c r="C12" s="54" t="s">
        <v>83</v>
      </c>
      <c r="D12" s="251"/>
      <c r="E12" s="251">
        <v>66</v>
      </c>
      <c r="F12" s="251"/>
      <c r="G12" s="253"/>
      <c r="H12" s="254"/>
      <c r="I12" s="51"/>
      <c r="J12" s="52"/>
      <c r="K12" s="53"/>
      <c r="L12" s="53" t="e">
        <f>'2. studieår'!AC31</f>
        <v>#REF!</v>
      </c>
      <c r="M12" s="53"/>
      <c r="N12" s="53"/>
      <c r="O12" s="53"/>
      <c r="P12" s="53"/>
      <c r="Q12" s="44"/>
      <c r="R12" s="32"/>
    </row>
    <row r="13" spans="1:18" x14ac:dyDescent="0.25">
      <c r="A13" s="251">
        <v>120040</v>
      </c>
      <c r="B13" s="252">
        <v>0</v>
      </c>
      <c r="C13" s="54" t="s">
        <v>84</v>
      </c>
      <c r="D13" s="251"/>
      <c r="E13" s="251">
        <v>55</v>
      </c>
      <c r="F13" s="251"/>
      <c r="G13" s="253"/>
      <c r="H13" s="254"/>
      <c r="I13" s="51"/>
      <c r="J13" s="52"/>
      <c r="K13" s="53"/>
      <c r="L13" s="53">
        <f>'2. studieår'!AE31</f>
        <v>1032</v>
      </c>
      <c r="M13" s="53"/>
      <c r="N13" s="53"/>
      <c r="O13" s="53"/>
      <c r="P13" s="53"/>
    </row>
    <row r="14" spans="1:18" x14ac:dyDescent="0.25">
      <c r="A14" s="251"/>
      <c r="B14" s="252"/>
      <c r="C14" s="54"/>
      <c r="D14" s="251"/>
      <c r="E14" s="251"/>
      <c r="F14" s="251"/>
      <c r="G14" s="253"/>
      <c r="H14" s="254"/>
      <c r="I14" s="51"/>
      <c r="J14" s="52"/>
      <c r="K14" s="53"/>
      <c r="L14" s="53"/>
      <c r="M14" s="53"/>
      <c r="N14" s="53"/>
      <c r="O14" s="53"/>
      <c r="P14" s="53"/>
    </row>
    <row r="15" spans="1:18" x14ac:dyDescent="0.25">
      <c r="A15" s="251">
        <v>120040</v>
      </c>
      <c r="B15" s="252">
        <v>0</v>
      </c>
      <c r="C15" s="54" t="s">
        <v>86</v>
      </c>
      <c r="D15" s="251"/>
      <c r="E15" s="251">
        <v>66</v>
      </c>
      <c r="F15" s="251"/>
      <c r="G15" s="253"/>
      <c r="H15" s="254"/>
      <c r="I15" s="51"/>
      <c r="J15" s="52"/>
      <c r="K15" s="53"/>
      <c r="L15" s="53">
        <f>'3. studieår'!AD25</f>
        <v>0</v>
      </c>
      <c r="M15" s="53"/>
      <c r="N15" s="53"/>
      <c r="O15" s="53"/>
      <c r="P15" s="53"/>
    </row>
    <row r="16" spans="1:18" x14ac:dyDescent="0.25">
      <c r="A16" s="251">
        <v>120040</v>
      </c>
      <c r="B16" s="252">
        <v>0</v>
      </c>
      <c r="C16" s="54" t="s">
        <v>87</v>
      </c>
      <c r="D16" s="251"/>
      <c r="E16" s="251">
        <v>66</v>
      </c>
      <c r="F16" s="251"/>
      <c r="G16" s="253"/>
      <c r="H16" s="254"/>
      <c r="I16" s="51"/>
      <c r="J16" s="52"/>
      <c r="K16" s="53"/>
      <c r="L16" s="53">
        <f>'3. studieår'!AE25</f>
        <v>580</v>
      </c>
      <c r="M16" s="53"/>
      <c r="N16" s="53"/>
      <c r="O16" s="53"/>
      <c r="P16" s="53"/>
    </row>
    <row r="17" spans="1:16" x14ac:dyDescent="0.25">
      <c r="A17" s="251">
        <v>120040</v>
      </c>
      <c r="B17" s="252">
        <v>0</v>
      </c>
      <c r="C17" s="54" t="s">
        <v>88</v>
      </c>
      <c r="D17" s="251"/>
      <c r="E17" s="251">
        <v>66</v>
      </c>
      <c r="F17" s="251"/>
      <c r="G17" s="253"/>
      <c r="H17" s="254"/>
      <c r="I17" s="51"/>
      <c r="J17" s="52"/>
      <c r="K17" s="53"/>
      <c r="L17" s="53">
        <f>'3. studieår'!AG25</f>
        <v>0</v>
      </c>
      <c r="M17" s="53"/>
      <c r="N17" s="53"/>
      <c r="O17" s="53"/>
      <c r="P17" s="53"/>
    </row>
    <row r="18" spans="1:16" x14ac:dyDescent="0.25">
      <c r="A18" s="251">
        <v>120040</v>
      </c>
      <c r="B18" s="252">
        <v>0</v>
      </c>
      <c r="C18" s="54" t="s">
        <v>89</v>
      </c>
      <c r="D18" s="251"/>
      <c r="E18" s="251">
        <v>55</v>
      </c>
      <c r="F18" s="251"/>
      <c r="G18" s="253"/>
      <c r="H18" s="254"/>
      <c r="I18" s="51"/>
      <c r="J18" s="52"/>
      <c r="K18" s="53"/>
      <c r="L18" s="53">
        <f>'3. studieår'!AH25</f>
        <v>1075</v>
      </c>
      <c r="M18" s="53"/>
      <c r="N18" s="53"/>
      <c r="O18" s="53"/>
      <c r="P18" s="53"/>
    </row>
    <row r="19" spans="1:16" x14ac:dyDescent="0.25">
      <c r="A19" s="251">
        <v>120040</v>
      </c>
      <c r="B19" s="252">
        <v>0</v>
      </c>
      <c r="C19" s="54" t="s">
        <v>90</v>
      </c>
      <c r="D19" s="251"/>
      <c r="E19" s="251">
        <v>66</v>
      </c>
      <c r="F19" s="251"/>
      <c r="G19" s="253"/>
      <c r="H19" s="254"/>
      <c r="I19" s="51"/>
      <c r="J19" s="52"/>
      <c r="K19" s="53"/>
      <c r="L19" s="53">
        <f>'3. studieår'!AI25</f>
        <v>0</v>
      </c>
      <c r="M19" s="53"/>
      <c r="N19" s="53"/>
      <c r="O19" s="53"/>
      <c r="P19" s="53"/>
    </row>
    <row r="20" spans="1:16" x14ac:dyDescent="0.25">
      <c r="A20" s="251">
        <v>120040</v>
      </c>
      <c r="B20" s="252">
        <v>0</v>
      </c>
      <c r="C20" s="54" t="s">
        <v>92</v>
      </c>
      <c r="D20" s="251"/>
      <c r="E20" s="251">
        <v>66</v>
      </c>
      <c r="F20" s="251"/>
      <c r="G20" s="253"/>
      <c r="H20" s="254"/>
      <c r="I20" s="51"/>
      <c r="J20" s="52"/>
      <c r="K20" s="53"/>
      <c r="L20" s="53">
        <f>'4. studieår'!AH31</f>
        <v>170</v>
      </c>
      <c r="M20" s="53"/>
      <c r="N20" s="53"/>
      <c r="O20" s="53"/>
      <c r="P20" s="53"/>
    </row>
    <row r="21" spans="1:16" x14ac:dyDescent="0.25">
      <c r="A21" s="251">
        <v>120040</v>
      </c>
      <c r="B21" s="252">
        <v>0</v>
      </c>
      <c r="C21" s="54" t="s">
        <v>93</v>
      </c>
      <c r="D21" s="251"/>
      <c r="E21" s="251">
        <v>66</v>
      </c>
      <c r="F21" s="251"/>
      <c r="G21" s="253"/>
      <c r="H21" s="254"/>
      <c r="I21" s="51"/>
      <c r="J21" s="52"/>
      <c r="K21" s="53"/>
      <c r="L21" s="53">
        <f>'4. studieår'!AI31</f>
        <v>1830</v>
      </c>
      <c r="M21" s="53"/>
      <c r="N21" s="53"/>
      <c r="O21" s="53"/>
      <c r="P21" s="53"/>
    </row>
    <row r="22" spans="1:16" x14ac:dyDescent="0.25">
      <c r="A22" s="251">
        <v>120040</v>
      </c>
      <c r="B22" s="252">
        <v>0</v>
      </c>
      <c r="C22" s="54" t="s">
        <v>94</v>
      </c>
      <c r="D22" s="251"/>
      <c r="E22" s="251">
        <v>66</v>
      </c>
      <c r="F22" s="251"/>
      <c r="G22" s="253"/>
      <c r="H22" s="254"/>
      <c r="I22" s="51"/>
      <c r="J22" s="52"/>
      <c r="K22" s="53"/>
      <c r="L22" s="53">
        <f>'4. studieår'!AK31</f>
        <v>0</v>
      </c>
      <c r="M22" s="53"/>
      <c r="N22" s="53"/>
      <c r="O22" s="53"/>
      <c r="P22" s="53"/>
    </row>
    <row r="23" spans="1:16" x14ac:dyDescent="0.25">
      <c r="A23" s="251">
        <v>120040</v>
      </c>
      <c r="B23" s="252">
        <v>0</v>
      </c>
      <c r="C23" s="54" t="s">
        <v>95</v>
      </c>
      <c r="D23" s="251"/>
      <c r="E23" s="251">
        <v>55</v>
      </c>
      <c r="F23" s="251"/>
      <c r="G23" s="253"/>
      <c r="H23" s="254"/>
      <c r="I23" s="51"/>
      <c r="J23" s="52"/>
      <c r="K23" s="53"/>
      <c r="L23" s="53">
        <f>'4. studieår'!AM31</f>
        <v>687.5</v>
      </c>
      <c r="M23" s="53"/>
      <c r="N23" s="53"/>
      <c r="O23" s="53"/>
      <c r="P23" s="53"/>
    </row>
    <row r="24" spans="1:16" x14ac:dyDescent="0.25">
      <c r="A24" s="251">
        <v>120040</v>
      </c>
      <c r="B24" s="252">
        <v>0</v>
      </c>
      <c r="C24" s="251">
        <v>640000</v>
      </c>
      <c r="D24" s="251"/>
      <c r="E24" s="251">
        <v>66</v>
      </c>
      <c r="F24" s="251"/>
      <c r="G24" s="253"/>
      <c r="H24" s="254"/>
      <c r="I24" s="327" t="s">
        <v>351</v>
      </c>
      <c r="J24" s="52"/>
      <c r="K24" s="53"/>
      <c r="L24" s="53">
        <f>'Oppsummering '!E16/(Valgemner!D2/5)</f>
        <v>0</v>
      </c>
      <c r="M24" s="53"/>
      <c r="N24" s="53"/>
      <c r="O24" s="53"/>
      <c r="P24" s="53"/>
    </row>
    <row r="25" spans="1:16" x14ac:dyDescent="0.25">
      <c r="A25" s="251">
        <v>120040</v>
      </c>
      <c r="B25" s="252">
        <v>0</v>
      </c>
      <c r="C25" s="251" t="s">
        <v>237</v>
      </c>
      <c r="D25" s="251"/>
      <c r="E25" s="251">
        <v>66</v>
      </c>
      <c r="F25" s="251"/>
      <c r="G25" s="251"/>
      <c r="H25" s="251"/>
      <c r="I25" s="50"/>
      <c r="J25" s="52"/>
      <c r="K25" s="53"/>
      <c r="L25" s="53">
        <f>Valgemner!I76*5</f>
        <v>892.8</v>
      </c>
      <c r="M25" s="53"/>
      <c r="N25" s="53"/>
      <c r="O25" s="53"/>
      <c r="P25" s="53"/>
    </row>
    <row r="26" spans="1:16" x14ac:dyDescent="0.25">
      <c r="A26" s="251">
        <v>120040</v>
      </c>
      <c r="B26" s="252">
        <v>0</v>
      </c>
      <c r="C26" s="251">
        <v>620252</v>
      </c>
      <c r="D26" s="251"/>
      <c r="E26" s="251">
        <v>66</v>
      </c>
      <c r="F26" s="251"/>
      <c r="G26" s="251"/>
      <c r="H26" s="251"/>
      <c r="I26" s="261" t="s">
        <v>292</v>
      </c>
      <c r="J26" s="52"/>
      <c r="K26" s="53"/>
      <c r="L26" s="53">
        <f>'Oppsummering '!E17/Diverse!B19</f>
        <v>54</v>
      </c>
      <c r="M26" s="53"/>
      <c r="N26" s="53"/>
      <c r="O26" s="53"/>
      <c r="P26" s="53"/>
    </row>
    <row r="27" spans="1:16" x14ac:dyDescent="0.25">
      <c r="A27" s="251">
        <v>120040</v>
      </c>
      <c r="B27" s="252">
        <v>0</v>
      </c>
      <c r="C27" s="251">
        <v>620253</v>
      </c>
      <c r="D27" s="251"/>
      <c r="E27" s="251">
        <v>66</v>
      </c>
      <c r="F27" s="251"/>
      <c r="G27" s="251"/>
      <c r="H27" s="251"/>
      <c r="I27" s="50" t="s">
        <v>241</v>
      </c>
      <c r="K27" s="53"/>
      <c r="L27" s="53">
        <f>'Oppsummering '!E12/(Valgemner!D2/5)</f>
        <v>3060.5142857142864</v>
      </c>
      <c r="M27" s="53"/>
      <c r="N27" s="53"/>
      <c r="O27" s="53"/>
      <c r="P27" s="53"/>
    </row>
    <row r="28" spans="1:16" x14ac:dyDescent="0.25">
      <c r="A28" s="251">
        <v>120040</v>
      </c>
      <c r="B28" s="252">
        <v>0</v>
      </c>
      <c r="C28" s="251">
        <v>612700</v>
      </c>
      <c r="D28" s="251"/>
      <c r="E28" s="251">
        <v>66</v>
      </c>
      <c r="F28" s="251"/>
      <c r="G28" s="251"/>
      <c r="H28" s="251"/>
      <c r="I28" s="50" t="s">
        <v>238</v>
      </c>
      <c r="K28" s="53"/>
      <c r="L28" s="53">
        <f>'Oppsummering '!E9/(Valgemner!D2/5)</f>
        <v>357.14285714285717</v>
      </c>
      <c r="M28" s="53"/>
      <c r="N28" s="53"/>
      <c r="O28" s="53"/>
      <c r="P28" s="53"/>
    </row>
    <row r="29" spans="1:16" x14ac:dyDescent="0.25">
      <c r="A29" s="251">
        <v>120040</v>
      </c>
      <c r="B29" s="252">
        <v>0</v>
      </c>
      <c r="C29" s="251">
        <v>640000</v>
      </c>
      <c r="D29" s="251"/>
      <c r="E29" s="251">
        <v>66</v>
      </c>
      <c r="F29" s="251"/>
      <c r="G29" s="251"/>
      <c r="H29" s="251"/>
      <c r="I29" s="50" t="s">
        <v>239</v>
      </c>
      <c r="K29" s="53"/>
      <c r="L29" s="53">
        <f>'Oppsummering '!E10/(Diverse!B23/5)</f>
        <v>121.42857142857143</v>
      </c>
      <c r="M29" s="53"/>
      <c r="N29" s="53"/>
      <c r="O29" s="53"/>
      <c r="P29" s="53"/>
    </row>
    <row r="30" spans="1:16" x14ac:dyDescent="0.25">
      <c r="A30" s="251">
        <v>120040</v>
      </c>
      <c r="B30" s="252">
        <v>0</v>
      </c>
      <c r="C30" s="251">
        <v>640000</v>
      </c>
      <c r="D30" s="251"/>
      <c r="E30" s="251">
        <v>66</v>
      </c>
      <c r="F30" s="251"/>
      <c r="G30" s="251"/>
      <c r="H30" s="251"/>
      <c r="I30" s="50" t="s">
        <v>240</v>
      </c>
      <c r="K30" s="53"/>
      <c r="L30" s="53">
        <f>'Oppsummering '!E11/(Diverse!B30/5)</f>
        <v>87</v>
      </c>
      <c r="M30" s="53"/>
      <c r="N30" s="53"/>
      <c r="O30" s="53"/>
      <c r="P30" s="53"/>
    </row>
    <row r="31" spans="1:16" x14ac:dyDescent="0.25">
      <c r="A31" s="251">
        <v>120040</v>
      </c>
      <c r="B31" s="252">
        <v>0</v>
      </c>
      <c r="C31" s="251">
        <v>680000</v>
      </c>
      <c r="D31" s="251"/>
      <c r="E31" s="251">
        <v>66</v>
      </c>
      <c r="F31" s="251"/>
      <c r="G31" s="251"/>
      <c r="H31" s="251"/>
      <c r="I31" s="50" t="s">
        <v>242</v>
      </c>
      <c r="K31" s="53"/>
      <c r="L31" s="53">
        <f>'Oppsummering '!E13/(Valgemner!D2/5)</f>
        <v>178.21428571428572</v>
      </c>
      <c r="M31" s="53"/>
      <c r="N31" s="53"/>
      <c r="O31" s="53"/>
      <c r="P31" s="53"/>
    </row>
    <row r="32" spans="1:16" x14ac:dyDescent="0.25">
      <c r="A32" s="251">
        <v>120040</v>
      </c>
      <c r="B32" s="252">
        <v>0</v>
      </c>
      <c r="C32" s="251">
        <v>640000</v>
      </c>
      <c r="D32" s="251"/>
      <c r="E32" s="251">
        <v>66</v>
      </c>
      <c r="F32" s="251"/>
      <c r="G32" s="251"/>
      <c r="H32" s="251"/>
      <c r="I32" s="261" t="s">
        <v>349</v>
      </c>
      <c r="K32" s="53"/>
      <c r="L32" s="53">
        <f>'Oppsummering '!E14/(Valgemner!D2/5)</f>
        <v>71.428571428571431</v>
      </c>
      <c r="M32" s="53"/>
      <c r="N32" s="53"/>
      <c r="O32" s="53"/>
      <c r="P32" s="53"/>
    </row>
    <row r="33" spans="1:17" x14ac:dyDescent="0.25">
      <c r="A33" s="251">
        <v>120040</v>
      </c>
      <c r="B33" s="252">
        <v>0</v>
      </c>
      <c r="C33" s="251">
        <v>640000</v>
      </c>
      <c r="D33" s="251"/>
      <c r="E33" s="251">
        <v>66</v>
      </c>
      <c r="F33" s="251"/>
      <c r="G33" s="251"/>
      <c r="H33" s="251"/>
      <c r="I33" s="261" t="s">
        <v>350</v>
      </c>
      <c r="K33" s="53"/>
      <c r="L33" s="53">
        <f>'Oppsummering '!E18/Diverse!B20</f>
        <v>0</v>
      </c>
      <c r="M33" s="53"/>
      <c r="N33" s="53"/>
      <c r="O33" s="53"/>
      <c r="P33" s="53"/>
    </row>
    <row r="34" spans="1:17" x14ac:dyDescent="0.25">
      <c r="A34" s="251">
        <v>120200</v>
      </c>
      <c r="B34" s="252">
        <v>0</v>
      </c>
      <c r="C34" s="251">
        <v>611900</v>
      </c>
      <c r="D34" s="251"/>
      <c r="E34" s="251">
        <v>66</v>
      </c>
      <c r="F34" s="251"/>
      <c r="G34" s="251"/>
      <c r="H34" s="251"/>
      <c r="I34" s="214" t="s">
        <v>244</v>
      </c>
      <c r="K34" s="53"/>
      <c r="L34" s="53">
        <f>'Oppsummering '!E15/(Valgemner!D2/5)</f>
        <v>86.88095238095238</v>
      </c>
      <c r="M34" s="53"/>
      <c r="N34" s="53"/>
      <c r="O34" s="53"/>
      <c r="P34" s="53"/>
    </row>
    <row r="35" spans="1:17" ht="23.25" x14ac:dyDescent="0.35">
      <c r="A35" s="251">
        <v>120200</v>
      </c>
      <c r="B35" s="252">
        <v>0</v>
      </c>
      <c r="C35" s="251">
        <v>603901</v>
      </c>
      <c r="D35" s="251"/>
      <c r="E35" s="251">
        <v>66</v>
      </c>
      <c r="F35" s="251"/>
      <c r="G35" s="251"/>
      <c r="H35" s="251"/>
      <c r="I35" s="214"/>
      <c r="K35" s="53"/>
      <c r="L35" s="53"/>
      <c r="M35" s="53"/>
      <c r="N35" s="53"/>
      <c r="O35" s="53"/>
      <c r="P35" s="53"/>
      <c r="Q35" s="215"/>
    </row>
    <row r="37" spans="1:17" x14ac:dyDescent="0.25">
      <c r="L37" s="5" t="e">
        <f>SUM(L4:L35)</f>
        <v>#DIV/0!</v>
      </c>
    </row>
  </sheetData>
  <sheetProtection algorithmName="SHA-512" hashValue="flD0Pyt5aYngggoAM2vjhupXlVZUZ6DEiobM4bABI3iftuRMurOoONOk+MdV+CHjR6OY8Q5QdDSFI1NdDOsHSw==" saltValue="URVXyuyv6O+OUbgtNrR79A==" spinCount="100000" sheet="1" objects="1" scenarios="1" selectLockedCells="1"/>
  <autoFilter ref="A3:R35"/>
  <customSheetViews>
    <customSheetView guid="{54055508-3439-4A0A-A803-01A23ABF8DBD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1"/>
      <autoFilter ref="A3:R35"/>
    </customSheetView>
    <customSheetView guid="{7084DC93-B2BE-4098-87E1-DAC5FBCE0E0A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2"/>
      <autoFilter ref="A3:R35"/>
    </customSheetView>
    <customSheetView guid="{37BC2192-ABF8-4439-93C4-8E65E7EF90F5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3"/>
      <autoFilter ref="A3:R35"/>
    </customSheetView>
    <customSheetView guid="{1283C6B5-B05C-447B-8854-CDB081C03FD4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4"/>
      <autoFilter ref="A3:R35"/>
    </customSheetView>
    <customSheetView guid="{F170D8DF-3539-4353-BD8B-1F5EB452DAE5}" fitToPage="1" showAutoFilter="1" topLeftCell="A10">
      <selection activeCell="L31" sqref="L31"/>
      <pageMargins left="0.70866141732283472" right="0.70866141732283472" top="0.74803149606299213" bottom="0.74803149606299213" header="0.31496062992125984" footer="0.31496062992125984"/>
      <pageSetup paperSize="9" orientation="landscape" r:id="rId5"/>
      <autoFilter ref="A3:R35"/>
    </customSheetView>
    <customSheetView guid="{F727610F-D041-4412-A81F-AFD013C44971}" fitToPage="1" showAutoFilter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6"/>
      <autoFilter ref="A3:R35"/>
    </customSheetView>
    <customSheetView guid="{46AB9545-8BEE-4A2F-B820-9F80AC24A11B}" fitToPage="1" showAutoFilter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7"/>
      <autoFilter ref="A3:R35"/>
    </customSheetView>
    <customSheetView guid="{E5349645-7714-4437-B9BC-26ED822E5BC5}" fitToPage="1" showAutoFilter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8"/>
      <autoFilter ref="A3:R35"/>
    </customSheetView>
    <customSheetView guid="{43EFFC0A-CCC0-43DD-A273-4AF58757EC00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9"/>
      <autoFilter ref="A3:R35"/>
    </customSheetView>
    <customSheetView guid="{7AE955BB-7BF8-4CA4-ABF1-6A0BB53A48AD}" fitToPage="1" state="hidden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landscape" r:id="rId10"/>
    </customSheetView>
    <customSheetView guid="{BB9ED292-532F-438C-A4A6-F8D66D70E0E7}" fitToPage="1" printArea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1"/>
    </customSheetView>
    <customSheetView guid="{726FF687-50E0-4F8A-BCCB-6DA9E6D367D4}" fitToPage="1" printArea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2"/>
    </customSheetView>
    <customSheetView guid="{B76C0EA9-E79B-4DA2-9ADE-66DB47109F8F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3"/>
    </customSheetView>
    <customSheetView guid="{91227156-ECBD-48FD-8964-78F3608400FC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4"/>
    </customSheetView>
    <customSheetView guid="{1241DC17-BD41-46C5-9DB1-684763A09F24}" fitToPage="1">
      <selection activeCell="L7" sqref="L7"/>
      <pageMargins left="0.70866141732283472" right="0.70866141732283472" top="0.74803149606299213" bottom="0.74803149606299213" header="0.31496062992125984" footer="0.31496062992125984"/>
      <pageSetup paperSize="9" scale="84" orientation="landscape" r:id="rId15"/>
    </customSheetView>
    <customSheetView guid="{C1FECEF4-D739-4F39-9B89-CF4C04A77A9B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6"/>
    </customSheetView>
    <customSheetView guid="{83C69039-3E29-46E1-85FB-B9165E0BFA91}" fitToPage="1">
      <selection activeCell="L7" sqref="L7"/>
      <pageMargins left="0.70866141732283472" right="0.70866141732283472" top="0.74803149606299213" bottom="0.74803149606299213" header="0.31496062992125984" footer="0.31496062992125984"/>
      <pageSetup paperSize="9" scale="84" orientation="landscape" r:id="rId17"/>
    </customSheetView>
    <customSheetView guid="{F38A39FA-EF57-4062-A2AD-F3BEB88C5762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18"/>
      <autoFilter ref="A3:R35"/>
    </customSheetView>
    <customSheetView guid="{749D43A3-052D-442F-AE88-F6CCB83A1282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19"/>
      <autoFilter ref="A3:R35"/>
    </customSheetView>
    <customSheetView guid="{AC2983A2-F978-40B7-A196-35F34E705157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20"/>
      <autoFilter ref="A3:R35"/>
    </customSheetView>
    <customSheetView guid="{2A2C752C-8C42-4F9A-A40C-FE7F7014F210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21"/>
      <autoFilter ref="A3:R35"/>
    </customSheetView>
    <customSheetView guid="{0E885D9C-CD7C-4655-8709-41793617E0A7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22"/>
      <autoFilter ref="A3:R35"/>
    </customSheetView>
    <customSheetView guid="{CB7E9FB3-C7A3-44DE-98E4-19C23B487785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23"/>
      <autoFilter ref="A3:R35"/>
    </customSheetView>
  </customSheetViews>
  <conditionalFormatting sqref="A1">
    <cfRule type="cellIs" dxfId="0" priority="1" operator="equal">
      <formula>"Mangler input"</formula>
    </cfRule>
  </conditionalFormatting>
  <dataValidations count="2">
    <dataValidation type="list" allowBlank="1" showInputMessage="1" showErrorMessage="1" sqref="G4:G12">
      <formula1>$AH$7:$AH$13</formula1>
    </dataValidation>
    <dataValidation type="list" allowBlank="1" showInputMessage="1" showErrorMessage="1" sqref="H4:H12">
      <formula1>$S$7:$S$28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2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opLeftCell="A25" workbookViewId="0">
      <selection activeCell="A25" sqref="A25"/>
    </sheetView>
  </sheetViews>
  <sheetFormatPr defaultColWidth="11.42578125" defaultRowHeight="15" x14ac:dyDescent="0.25"/>
  <cols>
    <col min="1" max="1" width="22.28515625" customWidth="1"/>
    <col min="2" max="2" width="12.42578125" customWidth="1"/>
    <col min="3" max="3" width="11.7109375" customWidth="1"/>
    <col min="4" max="6" width="9.140625" customWidth="1"/>
    <col min="7" max="7" width="14.140625" customWidth="1"/>
    <col min="8" max="8" width="13" customWidth="1"/>
    <col min="9" max="9" width="9.140625" customWidth="1"/>
    <col min="10" max="10" width="11" customWidth="1"/>
    <col min="11" max="255" width="9.140625" customWidth="1"/>
  </cols>
  <sheetData>
    <row r="2" spans="1:7" x14ac:dyDescent="0.25">
      <c r="A2" t="s">
        <v>263</v>
      </c>
    </row>
    <row r="3" spans="1:7" x14ac:dyDescent="0.25">
      <c r="A3" t="s">
        <v>260</v>
      </c>
      <c r="G3" t="s">
        <v>261</v>
      </c>
    </row>
    <row r="5" spans="1:7" x14ac:dyDescent="0.25">
      <c r="A5" t="s">
        <v>262</v>
      </c>
    </row>
    <row r="7" spans="1:7" x14ac:dyDescent="0.25">
      <c r="A7" t="s">
        <v>248</v>
      </c>
    </row>
    <row r="8" spans="1:7" x14ac:dyDescent="0.25">
      <c r="A8" t="s">
        <v>249</v>
      </c>
    </row>
    <row r="9" spans="1:7" x14ac:dyDescent="0.25">
      <c r="A9" t="s">
        <v>249</v>
      </c>
    </row>
    <row r="11" spans="1:7" x14ac:dyDescent="0.25">
      <c r="A11" t="s">
        <v>250</v>
      </c>
    </row>
    <row r="12" spans="1:7" x14ac:dyDescent="0.25">
      <c r="A12" t="s">
        <v>251</v>
      </c>
    </row>
    <row r="14" spans="1:7" x14ac:dyDescent="0.25">
      <c r="A14" t="s">
        <v>252</v>
      </c>
    </row>
    <row r="15" spans="1:7" x14ac:dyDescent="0.25">
      <c r="A15" t="s">
        <v>253</v>
      </c>
    </row>
    <row r="16" spans="1:7" x14ac:dyDescent="0.25">
      <c r="A16" t="s">
        <v>254</v>
      </c>
    </row>
    <row r="17" spans="1:10" x14ac:dyDescent="0.25">
      <c r="A17" t="s">
        <v>255</v>
      </c>
    </row>
    <row r="18" spans="1:10" x14ac:dyDescent="0.25">
      <c r="A18" t="s">
        <v>256</v>
      </c>
    </row>
    <row r="20" spans="1:10" x14ac:dyDescent="0.25">
      <c r="A20" t="s">
        <v>257</v>
      </c>
    </row>
    <row r="21" spans="1:10" x14ac:dyDescent="0.25">
      <c r="A21" t="s">
        <v>258</v>
      </c>
    </row>
    <row r="22" spans="1:10" x14ac:dyDescent="0.25">
      <c r="A22" t="s">
        <v>259</v>
      </c>
    </row>
    <row r="24" spans="1:10" ht="16.5" thickBot="1" x14ac:dyDescent="0.3">
      <c r="A24" s="263"/>
      <c r="B24" s="135"/>
      <c r="C24" s="136"/>
      <c r="D24" s="264" t="s">
        <v>208</v>
      </c>
      <c r="E24" s="265"/>
      <c r="F24" s="266"/>
      <c r="G24" s="267"/>
    </row>
    <row r="25" spans="1:10" ht="60" x14ac:dyDescent="0.25">
      <c r="A25" s="268" t="s">
        <v>1</v>
      </c>
      <c r="B25" s="269" t="s">
        <v>245</v>
      </c>
      <c r="C25" s="270" t="s">
        <v>196</v>
      </c>
      <c r="D25" s="271" t="s">
        <v>120</v>
      </c>
      <c r="E25" s="271" t="s">
        <v>121</v>
      </c>
      <c r="F25" s="272" t="s">
        <v>109</v>
      </c>
      <c r="G25" s="273" t="s">
        <v>341</v>
      </c>
      <c r="H25" s="274" t="s">
        <v>360</v>
      </c>
      <c r="I25" s="273" t="s">
        <v>62</v>
      </c>
      <c r="J25" s="273" t="s">
        <v>181</v>
      </c>
    </row>
    <row r="26" spans="1:10" ht="60" x14ac:dyDescent="0.25">
      <c r="A26" s="262" t="s">
        <v>268</v>
      </c>
      <c r="B26" s="64">
        <v>10</v>
      </c>
      <c r="C26" s="64">
        <v>20</v>
      </c>
      <c r="D26" s="285"/>
      <c r="E26" s="285">
        <v>22</v>
      </c>
      <c r="F26" s="1">
        <v>22</v>
      </c>
      <c r="G26" s="3">
        <v>42900</v>
      </c>
      <c r="H26" s="285">
        <v>0</v>
      </c>
      <c r="I26" s="1"/>
      <c r="J26" s="1"/>
    </row>
    <row r="27" spans="1:10" ht="30" x14ac:dyDescent="0.25">
      <c r="A27" s="262" t="s">
        <v>269</v>
      </c>
      <c r="B27" s="64">
        <v>10</v>
      </c>
      <c r="C27" s="64">
        <v>20</v>
      </c>
      <c r="D27" s="285"/>
      <c r="E27" s="285">
        <v>22</v>
      </c>
      <c r="F27" s="1">
        <v>22</v>
      </c>
      <c r="G27" s="3">
        <v>42900</v>
      </c>
      <c r="H27" s="285">
        <v>3</v>
      </c>
      <c r="I27" s="1"/>
      <c r="J27" s="1">
        <v>15</v>
      </c>
    </row>
    <row r="28" spans="1:10" ht="30" x14ac:dyDescent="0.25">
      <c r="A28" s="262" t="s">
        <v>270</v>
      </c>
      <c r="B28" s="64">
        <v>10</v>
      </c>
      <c r="C28" s="64">
        <v>20</v>
      </c>
      <c r="D28" s="285"/>
      <c r="E28" s="285">
        <v>22</v>
      </c>
      <c r="F28" s="1">
        <v>22</v>
      </c>
      <c r="G28" s="3">
        <v>42900</v>
      </c>
      <c r="H28" s="285">
        <v>4</v>
      </c>
      <c r="I28" s="1"/>
      <c r="J28" s="1">
        <v>20</v>
      </c>
    </row>
    <row r="29" spans="1:10" ht="30" x14ac:dyDescent="0.25">
      <c r="A29" s="262" t="s">
        <v>271</v>
      </c>
      <c r="B29" s="64">
        <v>10</v>
      </c>
      <c r="C29" s="64">
        <v>20</v>
      </c>
      <c r="D29" s="285"/>
      <c r="E29" s="285">
        <v>22</v>
      </c>
      <c r="F29" s="1">
        <v>22</v>
      </c>
      <c r="G29" s="3">
        <v>42900</v>
      </c>
      <c r="H29" s="285"/>
      <c r="I29" s="1"/>
      <c r="J29" s="1"/>
    </row>
    <row r="30" spans="1:10" ht="90" x14ac:dyDescent="0.25">
      <c r="A30" s="262" t="s">
        <v>272</v>
      </c>
      <c r="B30" s="64">
        <v>10</v>
      </c>
      <c r="C30" s="64">
        <v>20</v>
      </c>
      <c r="D30" s="285"/>
      <c r="E30" s="285">
        <v>22</v>
      </c>
      <c r="F30" s="1">
        <v>22</v>
      </c>
      <c r="G30" s="3">
        <v>42900</v>
      </c>
      <c r="H30" s="285">
        <v>0</v>
      </c>
      <c r="I30" s="1"/>
      <c r="J30" s="1"/>
    </row>
    <row r="31" spans="1:10" ht="30" x14ac:dyDescent="0.25">
      <c r="A31" s="262" t="s">
        <v>273</v>
      </c>
      <c r="B31" s="64">
        <v>10</v>
      </c>
      <c r="C31" s="64">
        <v>20</v>
      </c>
      <c r="D31" s="285"/>
      <c r="E31" s="285">
        <v>20</v>
      </c>
      <c r="F31" s="1">
        <v>6</v>
      </c>
      <c r="G31" s="3">
        <v>11700</v>
      </c>
      <c r="H31" s="285">
        <v>0</v>
      </c>
      <c r="I31" s="1"/>
      <c r="J31" s="1"/>
    </row>
    <row r="32" spans="1:10" ht="60" x14ac:dyDescent="0.25">
      <c r="A32" s="262" t="s">
        <v>274</v>
      </c>
      <c r="B32" s="64">
        <v>10</v>
      </c>
      <c r="C32" s="64">
        <v>20</v>
      </c>
      <c r="D32" s="285">
        <v>28</v>
      </c>
      <c r="E32" s="285"/>
      <c r="F32" s="1">
        <v>28</v>
      </c>
      <c r="G32" s="3">
        <v>54600</v>
      </c>
      <c r="H32" s="285">
        <v>6</v>
      </c>
      <c r="I32" s="1"/>
      <c r="J32" s="1">
        <v>30</v>
      </c>
    </row>
    <row r="33" spans="1:10" ht="75" x14ac:dyDescent="0.25">
      <c r="A33" s="262" t="s">
        <v>275</v>
      </c>
      <c r="B33" s="64">
        <v>10</v>
      </c>
      <c r="C33" s="64">
        <v>20</v>
      </c>
      <c r="D33" s="285">
        <v>22</v>
      </c>
      <c r="E33" s="285"/>
      <c r="F33" s="1">
        <v>22</v>
      </c>
      <c r="G33" s="3">
        <v>42900</v>
      </c>
      <c r="H33" s="285">
        <v>4</v>
      </c>
      <c r="I33" s="1"/>
      <c r="J33" s="1">
        <v>20</v>
      </c>
    </row>
    <row r="34" spans="1:10" ht="45" x14ac:dyDescent="0.25">
      <c r="A34" s="262" t="s">
        <v>359</v>
      </c>
      <c r="B34" s="64">
        <v>10</v>
      </c>
      <c r="C34" s="64">
        <v>20</v>
      </c>
      <c r="D34" s="285">
        <v>22</v>
      </c>
      <c r="E34" s="285"/>
      <c r="F34" s="1">
        <v>22</v>
      </c>
      <c r="G34" s="3">
        <v>42900</v>
      </c>
      <c r="H34" s="285"/>
      <c r="I34" s="1"/>
      <c r="J34" s="1"/>
    </row>
    <row r="35" spans="1:10" ht="60" x14ac:dyDescent="0.25">
      <c r="A35" s="262" t="s">
        <v>265</v>
      </c>
      <c r="B35" s="64">
        <v>10</v>
      </c>
      <c r="C35" s="64">
        <v>20</v>
      </c>
      <c r="D35" s="285">
        <v>22</v>
      </c>
      <c r="E35" s="285"/>
      <c r="F35" s="1">
        <v>22</v>
      </c>
      <c r="G35" s="3">
        <v>42900</v>
      </c>
      <c r="H35" s="285">
        <v>0</v>
      </c>
      <c r="I35" s="1"/>
      <c r="J35" s="1"/>
    </row>
    <row r="36" spans="1:10" x14ac:dyDescent="0.25">
      <c r="B36">
        <f t="shared" ref="B36:H36" si="0">SUM(B26:B35)</f>
        <v>100</v>
      </c>
      <c r="C36">
        <f t="shared" si="0"/>
        <v>200</v>
      </c>
      <c r="D36">
        <f t="shared" si="0"/>
        <v>94</v>
      </c>
      <c r="E36">
        <f t="shared" si="0"/>
        <v>130</v>
      </c>
      <c r="F36">
        <f t="shared" si="0"/>
        <v>210</v>
      </c>
      <c r="G36" s="5">
        <f t="shared" si="0"/>
        <v>409500</v>
      </c>
      <c r="H36">
        <f t="shared" si="0"/>
        <v>17</v>
      </c>
      <c r="J36">
        <f>SUM(J26:J35)</f>
        <v>85</v>
      </c>
    </row>
  </sheetData>
  <customSheetViews>
    <customSheetView guid="{54055508-3439-4A0A-A803-01A23ABF8DBD}" topLeftCell="A25">
      <selection activeCell="A25" sqref="A25"/>
      <pageMargins left="0.7" right="0.7" top="0.75" bottom="0.75" header="0.3" footer="0.3"/>
      <pageSetup paperSize="9" orientation="portrait" r:id="rId1"/>
    </customSheetView>
    <customSheetView guid="{7084DC93-B2BE-4098-87E1-DAC5FBCE0E0A}" topLeftCell="A25">
      <selection activeCell="A25" sqref="A25"/>
      <pageMargins left="0.7" right="0.7" top="0.75" bottom="0.75" header="0.3" footer="0.3"/>
      <pageSetup paperSize="9" orientation="portrait" r:id="rId2"/>
    </customSheetView>
    <customSheetView guid="{37BC2192-ABF8-4439-93C4-8E65E7EF90F5}" topLeftCell="A25">
      <selection activeCell="A25" sqref="A25"/>
      <pageMargins left="0.7" right="0.7" top="0.75" bottom="0.75" header="0.3" footer="0.3"/>
      <pageSetup paperSize="9" orientation="portrait" r:id="rId3"/>
    </customSheetView>
    <customSheetView guid="{1283C6B5-B05C-447B-8854-CDB081C03FD4}">
      <selection activeCell="G27" sqref="G27"/>
      <pageMargins left="0.7" right="0.7" top="0.75" bottom="0.75" header="0.3" footer="0.3"/>
    </customSheetView>
    <customSheetView guid="{F170D8DF-3539-4353-BD8B-1F5EB452DAE5}">
      <selection activeCell="G27" sqref="G27"/>
      <pageMargins left="0.7" right="0.7" top="0.75" bottom="0.75" header="0.3" footer="0.3"/>
    </customSheetView>
    <customSheetView guid="{F727610F-D041-4412-A81F-AFD013C44971}">
      <selection activeCell="G27" sqref="G27"/>
      <pageMargins left="0.7" right="0.7" top="0.75" bottom="0.75" header="0.3" footer="0.3"/>
    </customSheetView>
    <customSheetView guid="{46AB9545-8BEE-4A2F-B820-9F80AC24A11B}">
      <selection activeCell="G27" sqref="G27"/>
      <pageMargins left="0.7" right="0.7" top="0.75" bottom="0.75" header="0.3" footer="0.3"/>
    </customSheetView>
    <customSheetView guid="{E5349645-7714-4437-B9BC-26ED822E5BC5}">
      <selection activeCell="G27" sqref="G27"/>
      <pageMargins left="0.7" right="0.7" top="0.75" bottom="0.75" header="0.3" footer="0.3"/>
    </customSheetView>
    <customSheetView guid="{43EFFC0A-CCC0-43DD-A273-4AF58757EC00}">
      <selection activeCell="G27" sqref="G27"/>
      <pageMargins left="0.7" right="0.7" top="0.75" bottom="0.75" header="0.3" footer="0.3"/>
    </customSheetView>
    <customSheetView guid="{7AE955BB-7BF8-4CA4-ABF1-6A0BB53A48AD}" topLeftCell="A16">
      <selection activeCell="N29" sqref="N29"/>
      <pageMargins left="0.7" right="0.7" top="0.75" bottom="0.75" header="0.3" footer="0.3"/>
    </customSheetView>
    <customSheetView guid="{BB9ED292-532F-438C-A4A6-F8D66D70E0E7}">
      <selection activeCell="I34" sqref="I34:J34"/>
      <pageMargins left="0.7" right="0.7" top="0.75" bottom="0.75" header="0.3" footer="0.3"/>
    </customSheetView>
    <customSheetView guid="{726FF687-50E0-4F8A-BCCB-6DA9E6D367D4}">
      <selection activeCell="I34" sqref="I34:J34"/>
      <pageMargins left="0.7" right="0.7" top="0.75" bottom="0.75" header="0.3" footer="0.3"/>
    </customSheetView>
    <customSheetView guid="{B76C0EA9-E79B-4DA2-9ADE-66DB47109F8F}">
      <selection activeCell="I34" sqref="I34:J34"/>
      <pageMargins left="0.7" right="0.7" top="0.75" bottom="0.75" header="0.3" footer="0.3"/>
    </customSheetView>
    <customSheetView guid="{1241DC17-BD41-46C5-9DB1-684763A09F24}">
      <selection activeCell="I34" sqref="I34:J34"/>
      <pageMargins left="0.7" right="0.7" top="0.75" bottom="0.75" header="0.3" footer="0.3"/>
    </customSheetView>
    <customSheetView guid="{C1FECEF4-D739-4F39-9B89-CF4C04A77A9B}">
      <selection activeCell="I34" sqref="I34:J34"/>
      <pageMargins left="0.7" right="0.7" top="0.75" bottom="0.75" header="0.3" footer="0.3"/>
    </customSheetView>
    <customSheetView guid="{83C69039-3E29-46E1-85FB-B9165E0BFA91}">
      <selection activeCell="I34" sqref="I34:J34"/>
      <pageMargins left="0.7" right="0.7" top="0.75" bottom="0.75" header="0.3" footer="0.3"/>
    </customSheetView>
    <customSheetView guid="{F38A39FA-EF57-4062-A2AD-F3BEB88C5762}">
      <selection activeCell="G27" sqref="G27"/>
      <pageMargins left="0.7" right="0.7" top="0.75" bottom="0.75" header="0.3" footer="0.3"/>
    </customSheetView>
    <customSheetView guid="{749D43A3-052D-442F-AE88-F6CCB83A1282}">
      <selection activeCell="G27" sqref="G27"/>
      <pageMargins left="0.7" right="0.7" top="0.75" bottom="0.75" header="0.3" footer="0.3"/>
    </customSheetView>
    <customSheetView guid="{AC2983A2-F978-40B7-A196-35F34E705157}">
      <selection activeCell="G27" sqref="G27"/>
      <pageMargins left="0.7" right="0.7" top="0.75" bottom="0.75" header="0.3" footer="0.3"/>
    </customSheetView>
    <customSheetView guid="{2A2C752C-8C42-4F9A-A40C-FE7F7014F210}" topLeftCell="A25">
      <selection activeCell="A25" sqref="A25"/>
      <pageMargins left="0.7" right="0.7" top="0.75" bottom="0.75" header="0.3" footer="0.3"/>
      <pageSetup paperSize="9" orientation="portrait" r:id="rId4"/>
    </customSheetView>
    <customSheetView guid="{0E885D9C-CD7C-4655-8709-41793617E0A7}" topLeftCell="A25">
      <selection activeCell="A25" sqref="A25"/>
      <pageMargins left="0.7" right="0.7" top="0.75" bottom="0.75" header="0.3" footer="0.3"/>
      <pageSetup paperSize="9" orientation="portrait" r:id="rId5"/>
    </customSheetView>
    <customSheetView guid="{CB7E9FB3-C7A3-44DE-98E4-19C23B487785}" topLeftCell="A25">
      <selection activeCell="A25" sqref="A25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1. studieår</vt:lpstr>
      <vt:lpstr>2. studieår</vt:lpstr>
      <vt:lpstr>3. studieår</vt:lpstr>
      <vt:lpstr>4. studieår</vt:lpstr>
      <vt:lpstr>Valgemner</vt:lpstr>
      <vt:lpstr>Diverse</vt:lpstr>
      <vt:lpstr>Oppsummering </vt:lpstr>
      <vt:lpstr>Buddyarket</vt:lpstr>
      <vt:lpstr>HUMR</vt:lpstr>
      <vt:lpstr>Buddyarket!Print_Area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jorning</dc:creator>
  <cp:lastModifiedBy>Anne Margit Tvenge</cp:lastModifiedBy>
  <cp:lastPrinted>2016-10-28T09:13:33Z</cp:lastPrinted>
  <dcterms:created xsi:type="dcterms:W3CDTF">2010-09-08T06:54:11Z</dcterms:created>
  <dcterms:modified xsi:type="dcterms:W3CDTF">2020-10-19T12:32:32Z</dcterms:modified>
</cp:coreProperties>
</file>