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t\jus-felles\fakadm\Studieseksjonen\Undervisningsplanlegging\Undervisningsbudsjett\"/>
    </mc:Choice>
  </mc:AlternateContent>
  <bookViews>
    <workbookView xWindow="0" yWindow="0" windowWidth="28800" windowHeight="15390" activeTab="6"/>
  </bookViews>
  <sheets>
    <sheet name="1. studieår" sheetId="1" r:id="rId1"/>
    <sheet name="2. studieår" sheetId="2" r:id="rId2"/>
    <sheet name="3. studieår" sheetId="3" r:id="rId3"/>
    <sheet name="4. studieår" sheetId="4" r:id="rId4"/>
    <sheet name="Valgemner" sheetId="5" r:id="rId5"/>
    <sheet name="Diverse" sheetId="6" r:id="rId6"/>
    <sheet name="Oppsummering " sheetId="7" r:id="rId7"/>
    <sheet name="Kontering" sheetId="8" r:id="rId8"/>
    <sheet name="HUMR" sheetId="9" r:id="rId9"/>
  </sheets>
  <externalReferences>
    <externalReference r:id="rId10"/>
    <externalReference r:id="rId11"/>
    <externalReference r:id="rId12"/>
  </externalReferences>
  <definedNames>
    <definedName name="_xlnm._FilterDatabase" localSheetId="7" hidden="1">Kontering!$B$3:$O$27</definedName>
    <definedName name="_xlnm.Print_Area" localSheetId="7">Kontering!$B$1:$N$17</definedName>
    <definedName name="Z_0E885D9C_CD7C_4655_8709_41793617E0A7_.wvu.Cols" localSheetId="0" hidden="1">'1. studieår'!$F:$G,'1. studieår'!$O:$O,'1. studieår'!$R:$T</definedName>
    <definedName name="Z_0E885D9C_CD7C_4655_8709_41793617E0A7_.wvu.Cols" localSheetId="1" hidden="1">'2. studieår'!$O:$O,'2. studieår'!$V:$W,'2. studieår'!$Y:$Z,'2. studieår'!$AB:$AC,'2. studieår'!$AE:$AF</definedName>
    <definedName name="Z_0E885D9C_CD7C_4655_8709_41793617E0A7_.wvu.Cols" localSheetId="2" hidden="1">'3. studieår'!$I:$I,'3. studieår'!$S:$S,'3. studieår'!$W:$X,'3. studieår'!$Z:$AA,'3. studieår'!$AC:$AD,'3. studieår'!$AF:$AG</definedName>
    <definedName name="Z_0E885D9C_CD7C_4655_8709_41793617E0A7_.wvu.Cols" localSheetId="3" hidden="1">'4. studieår'!$P:$S,'4. studieår'!$Y:$Z,'4. studieår'!$AC:$AG,'4. studieår'!$AI:$AM</definedName>
    <definedName name="Z_0E885D9C_CD7C_4655_8709_41793617E0A7_.wvu.Cols" localSheetId="4" hidden="1">Valgemner!$H:$H</definedName>
    <definedName name="Z_0E885D9C_CD7C_4655_8709_41793617E0A7_.wvu.FilterData" localSheetId="7" hidden="1">Kontering!$B$3:$O$27</definedName>
    <definedName name="Z_0E885D9C_CD7C_4655_8709_41793617E0A7_.wvu.PrintArea" localSheetId="7" hidden="1">Kontering!$B$1:$N$17</definedName>
    <definedName name="Z_0E885D9C_CD7C_4655_8709_41793617E0A7_.wvu.Rows" localSheetId="0" hidden="1">'1. studieår'!$25:$25</definedName>
    <definedName name="Z_0E885D9C_CD7C_4655_8709_41793617E0A7_.wvu.Rows" localSheetId="3" hidden="1">'4. studieår'!$14:$14</definedName>
    <definedName name="Z_0F10E6D6_430E_4539_8602_E1FCB30ABD1B_.wvu.Cols" localSheetId="0" hidden="1">'1. studieår'!$F:$G,'1. studieår'!$O:$O,'1. studieår'!$R:$T</definedName>
    <definedName name="Z_0F10E6D6_430E_4539_8602_E1FCB30ABD1B_.wvu.Cols" localSheetId="1" hidden="1">'2. studieår'!$O:$O,'2. studieår'!$V:$W,'2. studieår'!$Y:$Z,'2. studieår'!$AB:$AC,'2. studieår'!$AE:$AF</definedName>
    <definedName name="Z_0F10E6D6_430E_4539_8602_E1FCB30ABD1B_.wvu.Cols" localSheetId="2" hidden="1">'3. studieår'!$I:$I,'3. studieår'!$S:$S,'3. studieår'!$W:$X,'3. studieår'!$Z:$AA,'3. studieår'!$AC:$AD,'3. studieår'!$AF:$AG</definedName>
    <definedName name="Z_0F10E6D6_430E_4539_8602_E1FCB30ABD1B_.wvu.Cols" localSheetId="3" hidden="1">'4. studieår'!$P:$S,'4. studieår'!$Y:$Z,'4. studieår'!$AC:$AG,'4. studieår'!$AI:$AM</definedName>
    <definedName name="Z_0F10E6D6_430E_4539_8602_E1FCB30ABD1B_.wvu.Cols" localSheetId="6" hidden="1">'Oppsummering '!$C:$C,'Oppsummering '!$E:$E,'Oppsummering '!$I:$I,'Oppsummering '!$L:$L</definedName>
    <definedName name="Z_0F10E6D6_430E_4539_8602_E1FCB30ABD1B_.wvu.Cols" localSheetId="4" hidden="1">Valgemner!$H:$H</definedName>
    <definedName name="Z_0F10E6D6_430E_4539_8602_E1FCB30ABD1B_.wvu.FilterData" localSheetId="7" hidden="1">Kontering!$B$3:$O$27</definedName>
    <definedName name="Z_0F10E6D6_430E_4539_8602_E1FCB30ABD1B_.wvu.PrintArea" localSheetId="7" hidden="1">Kontering!$B$1:$N$17</definedName>
    <definedName name="Z_0F10E6D6_430E_4539_8602_E1FCB30ABD1B_.wvu.Rows" localSheetId="0" hidden="1">'1. studieår'!$25:$25</definedName>
    <definedName name="Z_0F10E6D6_430E_4539_8602_E1FCB30ABD1B_.wvu.Rows" localSheetId="3" hidden="1">'4. studieår'!$14:$14</definedName>
    <definedName name="Z_1241DC17_BD41_46C5_9DB1_684763A09F24_.wvu.Cols" localSheetId="0" hidden="1">'1. studieår'!$F:$G,'1. studieår'!$O:$O,'1. studieår'!$R:$T</definedName>
    <definedName name="Z_1241DC17_BD41_46C5_9DB1_684763A09F24_.wvu.Cols" localSheetId="1" hidden="1">'2. studieår'!$O:$O,'2. studieår'!$V:$W,'2. studieår'!$Y:$Z,'2. studieår'!$AB:$AC,'2. studieår'!$AE:$AF</definedName>
    <definedName name="Z_1241DC17_BD41_46C5_9DB1_684763A09F24_.wvu.Cols" localSheetId="2" hidden="1">'3. studieår'!$I:$I,'3. studieår'!$S:$S,'3. studieår'!$W:$X,'3. studieår'!$Z:$AA,'3. studieår'!$AC:$AD,'3. studieår'!$AF:$AG</definedName>
    <definedName name="Z_1241DC17_BD41_46C5_9DB1_684763A09F24_.wvu.Cols" localSheetId="3" hidden="1">'4. studieår'!$P:$S,'4. studieår'!$Y:$Z,'4. studieår'!$AC:$AG,'4. studieår'!$AI:$AM</definedName>
    <definedName name="Z_1241DC17_BD41_46C5_9DB1_684763A09F24_.wvu.Cols" localSheetId="6" hidden="1">'Oppsummering '!$C:$C,'Oppsummering '!$E:$E,'Oppsummering '!$I:$I,'Oppsummering '!$L:$L</definedName>
    <definedName name="Z_1241DC17_BD41_46C5_9DB1_684763A09F24_.wvu.Cols" localSheetId="4" hidden="1">Valgemner!$H:$H</definedName>
    <definedName name="Z_1241DC17_BD41_46C5_9DB1_684763A09F24_.wvu.FilterData" localSheetId="7" hidden="1">Kontering!$B$3:$O$27</definedName>
    <definedName name="Z_1241DC17_BD41_46C5_9DB1_684763A09F24_.wvu.PrintArea" localSheetId="7" hidden="1">Kontering!$B$1:$N$17</definedName>
    <definedName name="Z_1241DC17_BD41_46C5_9DB1_684763A09F24_.wvu.Rows" localSheetId="0" hidden="1">'1. studieår'!$25:$25</definedName>
    <definedName name="Z_1241DC17_BD41_46C5_9DB1_684763A09F24_.wvu.Rows" localSheetId="3" hidden="1">'4. studieår'!$14:$14</definedName>
    <definedName name="Z_1283C6B5_B05C_447B_8854_CDB081C03FD4_.wvu.Cols" localSheetId="0" hidden="1">'1. studieår'!$F:$G,'1. studieår'!#REF!,'1. studieår'!$P:$P,'1. studieår'!$S:$T,'1. studieår'!#REF!</definedName>
    <definedName name="Z_1283C6B5_B05C_447B_8854_CDB081C03FD4_.wvu.Cols" localSheetId="1" hidden="1">'2. studieår'!#REF!,'2. studieår'!#REF!</definedName>
    <definedName name="Z_1283C6B5_B05C_447B_8854_CDB081C03FD4_.wvu.Cols" localSheetId="2" hidden="1">'3. studieår'!#REF!</definedName>
    <definedName name="Z_1283C6B5_B05C_447B_8854_CDB081C03FD4_.wvu.Cols" localSheetId="3" hidden="1">'4. studieår'!$P:$R</definedName>
    <definedName name="Z_1283C6B5_B05C_447B_8854_CDB081C03FD4_.wvu.Cols" localSheetId="4" hidden="1">Valgemner!$H:$H</definedName>
    <definedName name="Z_1283C6B5_B05C_447B_8854_CDB081C03FD4_.wvu.FilterData" localSheetId="7" hidden="1">Kontering!$B$3:$O$27</definedName>
    <definedName name="Z_1283C6B5_B05C_447B_8854_CDB081C03FD4_.wvu.PrintArea" localSheetId="7" hidden="1">Kontering!$B$1:$N$17</definedName>
    <definedName name="Z_1283C6B5_B05C_447B_8854_CDB081C03FD4_.wvu.Rows" localSheetId="0" hidden="1">'1. studieår'!$25:$25</definedName>
    <definedName name="Z_2A2C752C_8C42_4F9A_A40C_FE7F7014F210_.wvu.Cols" localSheetId="0" hidden="1">'1. studieår'!$G:$G,'1. studieår'!$P:$P</definedName>
    <definedName name="Z_2A2C752C_8C42_4F9A_A40C_FE7F7014F210_.wvu.Cols" localSheetId="3" hidden="1">'4. studieår'!$P:$R</definedName>
    <definedName name="Z_2A2C752C_8C42_4F9A_A40C_FE7F7014F210_.wvu.Cols" localSheetId="4" hidden="1">Valgemner!$H:$H</definedName>
    <definedName name="Z_2A2C752C_8C42_4F9A_A40C_FE7F7014F210_.wvu.FilterData" localSheetId="7" hidden="1">Kontering!$B$3:$O$27</definedName>
    <definedName name="Z_2A2C752C_8C42_4F9A_A40C_FE7F7014F210_.wvu.PrintArea" localSheetId="7" hidden="1">Kontering!$B$1:$N$17</definedName>
    <definedName name="Z_2A2C752C_8C42_4F9A_A40C_FE7F7014F210_.wvu.Rows" localSheetId="0" hidden="1">'1. studieår'!$25:$25</definedName>
    <definedName name="Z_37BC2192_ABF8_4439_93C4_8E65E7EF90F5_.wvu.Cols" localSheetId="0" hidden="1">'1. studieår'!$F:$G,'1. studieår'!#REF!,'1. studieår'!$P:$P,'1. studieår'!$S:$T,'1. studieår'!#REF!</definedName>
    <definedName name="Z_37BC2192_ABF8_4439_93C4_8E65E7EF90F5_.wvu.Cols" localSheetId="1" hidden="1">'2. studieår'!#REF!,'2. studieår'!#REF!</definedName>
    <definedName name="Z_37BC2192_ABF8_4439_93C4_8E65E7EF90F5_.wvu.Cols" localSheetId="2" hidden="1">'3. studieår'!#REF!</definedName>
    <definedName name="Z_37BC2192_ABF8_4439_93C4_8E65E7EF90F5_.wvu.Cols" localSheetId="3" hidden="1">'4. studieår'!$P:$R</definedName>
    <definedName name="Z_37BC2192_ABF8_4439_93C4_8E65E7EF90F5_.wvu.Cols" localSheetId="4" hidden="1">Valgemner!$H:$H</definedName>
    <definedName name="Z_37BC2192_ABF8_4439_93C4_8E65E7EF90F5_.wvu.FilterData" localSheetId="7" hidden="1">Kontering!$B$3:$O$27</definedName>
    <definedName name="Z_37BC2192_ABF8_4439_93C4_8E65E7EF90F5_.wvu.PrintArea" localSheetId="7" hidden="1">Kontering!$B$1:$N$17</definedName>
    <definedName name="Z_37BC2192_ABF8_4439_93C4_8E65E7EF90F5_.wvu.Rows" localSheetId="0" hidden="1">'1. studieår'!$25:$25</definedName>
    <definedName name="Z_43EFFC0A_CCC0_43DD_A273_4AF58757EC00_.wvu.Cols" localSheetId="0" hidden="1">'1. studieår'!$F:$F,'1. studieår'!$I:$I,'1. studieår'!$P:$P</definedName>
    <definedName name="Z_43EFFC0A_CCC0_43DD_A273_4AF58757EC00_.wvu.Cols" localSheetId="1" hidden="1">'2. studieår'!#REF!,'2. studieår'!#REF!,'2. studieår'!#REF!</definedName>
    <definedName name="Z_43EFFC0A_CCC0_43DD_A273_4AF58757EC00_.wvu.Cols" localSheetId="2" hidden="1">'3. studieår'!#REF!,'3. studieår'!#REF!,'3. studieår'!#REF!</definedName>
    <definedName name="Z_43EFFC0A_CCC0_43DD_A273_4AF58757EC00_.wvu.Cols" localSheetId="3" hidden="1">'4. studieår'!#REF!,'4. studieår'!#REF!,'4. studieår'!$R:$R</definedName>
    <definedName name="Z_43EFFC0A_CCC0_43DD_A273_4AF58757EC00_.wvu.FilterData" localSheetId="7" hidden="1">Kontering!$B$3:$O$27</definedName>
    <definedName name="Z_43EFFC0A_CCC0_43DD_A273_4AF58757EC00_.wvu.PrintArea" localSheetId="7" hidden="1">Kontering!$B$1:$N$17</definedName>
    <definedName name="Z_46AB9545_8BEE_4A2F_B820_9F80AC24A11B_.wvu.Cols" localSheetId="0" hidden="1">'1. studieår'!$F:$F,'1. studieår'!$I:$I,'1. studieår'!$P:$P,'1. studieår'!#REF!</definedName>
    <definedName name="Z_46AB9545_8BEE_4A2F_B820_9F80AC24A11B_.wvu.Cols" localSheetId="1" hidden="1">'2. studieår'!#REF!,'2. studieår'!#REF!,'2. studieår'!#REF!</definedName>
    <definedName name="Z_46AB9545_8BEE_4A2F_B820_9F80AC24A11B_.wvu.Cols" localSheetId="2" hidden="1">'3. studieår'!#REF!,'3. studieår'!#REF!,'3. studieår'!#REF!</definedName>
    <definedName name="Z_46AB9545_8BEE_4A2F_B820_9F80AC24A11B_.wvu.Cols" localSheetId="3" hidden="1">'4. studieår'!#REF!,'4. studieår'!#REF!,'4. studieår'!$P:$R</definedName>
    <definedName name="Z_46AB9545_8BEE_4A2F_B820_9F80AC24A11B_.wvu.Cols" localSheetId="4" hidden="1">Valgemner!$H:$H</definedName>
    <definedName name="Z_46AB9545_8BEE_4A2F_B820_9F80AC24A11B_.wvu.FilterData" localSheetId="7" hidden="1">Kontering!$B$3:$O$27</definedName>
    <definedName name="Z_46AB9545_8BEE_4A2F_B820_9F80AC24A11B_.wvu.PrintArea" localSheetId="7" hidden="1">Kontering!$B$1:$N$17</definedName>
    <definedName name="Z_46AB9545_8BEE_4A2F_B820_9F80AC24A11B_.wvu.Rows" localSheetId="0" hidden="1">'1. studieår'!$25:$25</definedName>
    <definedName name="Z_6A1E5DF8_D380_4588_9B84_662BAE41D0D9_.wvu.Cols" localSheetId="0" hidden="1">'1. studieår'!$F:$G,'1. studieår'!$O:$O,'1. studieår'!$R:$T</definedName>
    <definedName name="Z_6A1E5DF8_D380_4588_9B84_662BAE41D0D9_.wvu.Cols" localSheetId="1" hidden="1">'2. studieår'!$O:$O,'2. studieår'!$V:$W,'2. studieår'!$Y:$Z,'2. studieår'!$AB:$AC,'2. studieår'!$AE:$AF</definedName>
    <definedName name="Z_6A1E5DF8_D380_4588_9B84_662BAE41D0D9_.wvu.Cols" localSheetId="2" hidden="1">'3. studieår'!$I:$I,'3. studieår'!$S:$S,'3. studieår'!$W:$X,'3. studieår'!$Z:$AA,'3. studieår'!$AC:$AD,'3. studieår'!$AF:$AG</definedName>
    <definedName name="Z_6A1E5DF8_D380_4588_9B84_662BAE41D0D9_.wvu.Cols" localSheetId="3" hidden="1">'4. studieår'!$P:$S,'4. studieår'!$Y:$Z,'4. studieår'!$AC:$AG,'4. studieår'!$AI:$AM</definedName>
    <definedName name="Z_6A1E5DF8_D380_4588_9B84_662BAE41D0D9_.wvu.Cols" localSheetId="4" hidden="1">Valgemner!$H:$H</definedName>
    <definedName name="Z_6A1E5DF8_D380_4588_9B84_662BAE41D0D9_.wvu.FilterData" localSheetId="7" hidden="1">Kontering!$B$3:$O$27</definedName>
    <definedName name="Z_6A1E5DF8_D380_4588_9B84_662BAE41D0D9_.wvu.PrintArea" localSheetId="7" hidden="1">Kontering!$B$1:$N$17</definedName>
    <definedName name="Z_6A1E5DF8_D380_4588_9B84_662BAE41D0D9_.wvu.Rows" localSheetId="0" hidden="1">'1. studieår'!$25:$25</definedName>
    <definedName name="Z_6A1E5DF8_D380_4588_9B84_662BAE41D0D9_.wvu.Rows" localSheetId="3" hidden="1">'4. studieår'!$14:$14</definedName>
    <definedName name="Z_7084DC93_B2BE_4098_87E1_DAC5FBCE0E0A_.wvu.Cols" localSheetId="0" hidden="1">'1. studieår'!$F:$G,'1. studieår'!#REF!,'1. studieår'!$P:$P,'1. studieår'!$S:$T,'1. studieår'!#REF!</definedName>
    <definedName name="Z_7084DC93_B2BE_4098_87E1_DAC5FBCE0E0A_.wvu.Cols" localSheetId="1" hidden="1">'2. studieår'!#REF!,'2. studieår'!#REF!</definedName>
    <definedName name="Z_7084DC93_B2BE_4098_87E1_DAC5FBCE0E0A_.wvu.Cols" localSheetId="2" hidden="1">'3. studieår'!#REF!</definedName>
    <definedName name="Z_7084DC93_B2BE_4098_87E1_DAC5FBCE0E0A_.wvu.Cols" localSheetId="3" hidden="1">'4. studieår'!$P:$R</definedName>
    <definedName name="Z_7084DC93_B2BE_4098_87E1_DAC5FBCE0E0A_.wvu.Cols" localSheetId="4" hidden="1">Valgemner!$H:$H</definedName>
    <definedName name="Z_7084DC93_B2BE_4098_87E1_DAC5FBCE0E0A_.wvu.FilterData" localSheetId="7" hidden="1">Kontering!$B$3:$O$27</definedName>
    <definedName name="Z_7084DC93_B2BE_4098_87E1_DAC5FBCE0E0A_.wvu.PrintArea" localSheetId="7" hidden="1">Kontering!$B$1:$N$17</definedName>
    <definedName name="Z_7084DC93_B2BE_4098_87E1_DAC5FBCE0E0A_.wvu.Rows" localSheetId="0" hidden="1">'1. studieår'!$25:$25</definedName>
    <definedName name="Z_726FF687_50E0_4F8A_BCCB_6DA9E6D367D4_.wvu.Cols" localSheetId="0" hidden="1">'1. studieår'!$F:$F,'1. studieår'!$I:$I,'1. studieår'!$P:$P</definedName>
    <definedName name="Z_726FF687_50E0_4F8A_BCCB_6DA9E6D367D4_.wvu.Cols" localSheetId="1" hidden="1">'2. studieår'!#REF!,'2. studieår'!#REF!</definedName>
    <definedName name="Z_726FF687_50E0_4F8A_BCCB_6DA9E6D367D4_.wvu.Cols" localSheetId="2" hidden="1">'3. studieår'!#REF!,'3. studieår'!#REF!,'3. studieår'!#REF!</definedName>
    <definedName name="Z_726FF687_50E0_4F8A_BCCB_6DA9E6D367D4_.wvu.Cols" localSheetId="3" hidden="1">'4. studieår'!#REF!,'4. studieår'!#REF!,'4. studieår'!$R:$R</definedName>
    <definedName name="Z_726FF687_50E0_4F8A_BCCB_6DA9E6D367D4_.wvu.PrintArea" localSheetId="7" hidden="1">Kontering!$B$1:$N$17</definedName>
    <definedName name="Z_726FF687_50E0_4F8A_BCCB_6DA9E6D367D4_.wvu.Rows" localSheetId="0" hidden="1">'1. studieår'!$4:$4,'1. studieår'!#REF!</definedName>
    <definedName name="Z_726FF687_50E0_4F8A_BCCB_6DA9E6D367D4_.wvu.Rows" localSheetId="1" hidden="1">'2. studieår'!$34:$34</definedName>
    <definedName name="Z_726FF687_50E0_4F8A_BCCB_6DA9E6D367D4_.wvu.Rows" localSheetId="2" hidden="1">'3. studieår'!$2:$2,'3. studieår'!$40:$40</definedName>
    <definedName name="Z_726FF687_50E0_4F8A_BCCB_6DA9E6D367D4_.wvu.Rows" localSheetId="3" hidden="1">'4. studieår'!$34:$34</definedName>
    <definedName name="Z_749D43A3_052D_442F_AE88_F6CCB83A1282_.wvu.Cols" localSheetId="0" hidden="1">'1. studieår'!$F:$F,'1. studieår'!$I:$I,'1. studieår'!$P:$P</definedName>
    <definedName name="Z_749D43A3_052D_442F_AE88_F6CCB83A1282_.wvu.Cols" localSheetId="1" hidden="1">'2. studieår'!#REF!,'2. studieår'!#REF!,'2. studieår'!#REF!</definedName>
    <definedName name="Z_749D43A3_052D_442F_AE88_F6CCB83A1282_.wvu.Cols" localSheetId="2" hidden="1">'3. studieår'!#REF!,'3. studieår'!#REF!,'3. studieår'!#REF!</definedName>
    <definedName name="Z_749D43A3_052D_442F_AE88_F6CCB83A1282_.wvu.Cols" localSheetId="3" hidden="1">'4. studieår'!#REF!,'4. studieår'!#REF!,'4. studieår'!$R:$R</definedName>
    <definedName name="Z_749D43A3_052D_442F_AE88_F6CCB83A1282_.wvu.FilterData" localSheetId="7" hidden="1">Kontering!$B$3:$O$27</definedName>
    <definedName name="Z_749D43A3_052D_442F_AE88_F6CCB83A1282_.wvu.PrintArea" localSheetId="7" hidden="1">Kontering!$B$1:$N$17</definedName>
    <definedName name="Z_7AE955BB_7BF8_4CA4_ABF1_6A0BB53A48AD_.wvu.Cols" localSheetId="0" hidden="1">'1. studieår'!$F:$F,'1. studieår'!$I:$I,'1. studieår'!$P:$P</definedName>
    <definedName name="Z_7AE955BB_7BF8_4CA4_ABF1_6A0BB53A48AD_.wvu.Cols" localSheetId="1" hidden="1">'2. studieår'!#REF!,'2. studieår'!#REF!</definedName>
    <definedName name="Z_7AE955BB_7BF8_4CA4_ABF1_6A0BB53A48AD_.wvu.Cols" localSheetId="2" hidden="1">'3. studieår'!#REF!,'3. studieår'!#REF!,'3. studieår'!#REF!</definedName>
    <definedName name="Z_7AE955BB_7BF8_4CA4_ABF1_6A0BB53A48AD_.wvu.Cols" localSheetId="3" hidden="1">'4. studieår'!#REF!,'4. studieår'!#REF!,'4. studieår'!$R:$R</definedName>
    <definedName name="Z_7AE955BB_7BF8_4CA4_ABF1_6A0BB53A48AD_.wvu.PrintArea" localSheetId="7" hidden="1">Kontering!$B$1:$N$17</definedName>
    <definedName name="Z_7AE955BB_7BF8_4CA4_ABF1_6A0BB53A48AD_.wvu.Rows" localSheetId="0" hidden="1">'1. studieår'!$4:$4,'1. studieår'!#REF!</definedName>
    <definedName name="Z_7AE955BB_7BF8_4CA4_ABF1_6A0BB53A48AD_.wvu.Rows" localSheetId="1" hidden="1">'2. studieår'!$34:$34</definedName>
    <definedName name="Z_7AE955BB_7BF8_4CA4_ABF1_6A0BB53A48AD_.wvu.Rows" localSheetId="2" hidden="1">'3. studieår'!$2:$2,'3. studieår'!$40:$40</definedName>
    <definedName name="Z_7AE955BB_7BF8_4CA4_ABF1_6A0BB53A48AD_.wvu.Rows" localSheetId="3" hidden="1">'4. studieår'!$34:$34</definedName>
    <definedName name="Z_83C69039_3E29_46E1_85FB_B9165E0BFA91_.wvu.Cols" localSheetId="0" hidden="1">'1. studieår'!$F:$F,'1. studieår'!$I:$I,'1. studieår'!$P:$P</definedName>
    <definedName name="Z_83C69039_3E29_46E1_85FB_B9165E0BFA91_.wvu.Cols" localSheetId="1" hidden="1">'2. studieår'!#REF!,'2. studieår'!#REF!,'2. studieår'!#REF!</definedName>
    <definedName name="Z_83C69039_3E29_46E1_85FB_B9165E0BFA91_.wvu.Cols" localSheetId="2" hidden="1">'3. studieår'!#REF!,'3. studieår'!#REF!,'3. studieår'!#REF!</definedName>
    <definedName name="Z_83C69039_3E29_46E1_85FB_B9165E0BFA91_.wvu.Cols" localSheetId="3" hidden="1">'4. studieår'!#REF!,'4. studieår'!#REF!,'4. studieår'!$R:$R</definedName>
    <definedName name="Z_83C69039_3E29_46E1_85FB_B9165E0BFA91_.wvu.FilterData" localSheetId="7" hidden="1">Kontering!$B$3:$O$27</definedName>
    <definedName name="Z_91227156_ECBD_48FD_8964_78F3608400FC_.wvu.Cols" localSheetId="0" hidden="1">'1. studieår'!$F:$F,'1. studieår'!$I:$I,'1. studieår'!$P:$P</definedName>
    <definedName name="Z_91227156_ECBD_48FD_8964_78F3608400FC_.wvu.Cols" localSheetId="1" hidden="1">'2. studieår'!#REF!,'2. studieår'!#REF!</definedName>
    <definedName name="Z_91227156_ECBD_48FD_8964_78F3608400FC_.wvu.Cols" localSheetId="2" hidden="1">'3. studieår'!#REF!,'3. studieår'!#REF!,'3. studieår'!#REF!</definedName>
    <definedName name="Z_91227156_ECBD_48FD_8964_78F3608400FC_.wvu.Cols" localSheetId="3" hidden="1">'4. studieår'!#REF!,'4. studieår'!#REF!,'4. studieår'!$R:$R</definedName>
    <definedName name="Z_91227156_ECBD_48FD_8964_78F3608400FC_.wvu.PrintArea" localSheetId="7" hidden="1">Kontering!$B$1:$N$17</definedName>
    <definedName name="Z_91227156_ECBD_48FD_8964_78F3608400FC_.wvu.Rows" localSheetId="0" hidden="1">'1. studieår'!$4:$4,'1. studieår'!#REF!</definedName>
    <definedName name="Z_91227156_ECBD_48FD_8964_78F3608400FC_.wvu.Rows" localSheetId="1" hidden="1">'2. studieår'!$34:$34</definedName>
    <definedName name="Z_91227156_ECBD_48FD_8964_78F3608400FC_.wvu.Rows" localSheetId="2" hidden="1">'3. studieår'!$2:$2,'3. studieår'!$40:$40</definedName>
    <definedName name="Z_91227156_ECBD_48FD_8964_78F3608400FC_.wvu.Rows" localSheetId="3" hidden="1">'4. studieår'!$34:$34</definedName>
    <definedName name="Z_96F3D653_3E18_45D1_BCF3_9480EFDD711C_.wvu.PrintArea" localSheetId="6" hidden="1">'Oppsummering '!$A$2:$O$41</definedName>
    <definedName name="Z_AC2983A2_F978_40B7_A196_35F34E705157_.wvu.Cols" localSheetId="0" hidden="1">'1. studieår'!$F:$G,'1. studieår'!#REF!,'1. studieår'!$P:$P,'1. studieår'!$S:$T,'1. studieår'!#REF!</definedName>
    <definedName name="Z_AC2983A2_F978_40B7_A196_35F34E705157_.wvu.Cols" localSheetId="1" hidden="1">'2. studieår'!#REF!,'2. studieår'!#REF!,'2. studieår'!#REF!</definedName>
    <definedName name="Z_AC2983A2_F978_40B7_A196_35F34E705157_.wvu.Cols" localSheetId="2" hidden="1">'3. studieår'!#REF!,'3. studieår'!#REF!,'3. studieår'!#REF!,'3. studieår'!#REF!</definedName>
    <definedName name="Z_AC2983A2_F978_40B7_A196_35F34E705157_.wvu.Cols" localSheetId="3" hidden="1">'4. studieår'!#REF!,'4. studieår'!#REF!,'4. studieår'!$P:$R</definedName>
    <definedName name="Z_AC2983A2_F978_40B7_A196_35F34E705157_.wvu.Cols" localSheetId="4" hidden="1">Valgemner!$H:$H</definedName>
    <definedName name="Z_AC2983A2_F978_40B7_A196_35F34E705157_.wvu.FilterData" localSheetId="7" hidden="1">Kontering!$B$3:$O$27</definedName>
    <definedName name="Z_AC2983A2_F978_40B7_A196_35F34E705157_.wvu.PrintArea" localSheetId="7" hidden="1">Kontering!$B$1:$N$17</definedName>
    <definedName name="Z_AC2983A2_F978_40B7_A196_35F34E705157_.wvu.Rows" localSheetId="0" hidden="1">'1. studieår'!$25:$25</definedName>
    <definedName name="Z_B711C9DF_E741_4A27_9293_4E9F012F3AC0_.wvu.Cols" localSheetId="0" hidden="1">'1. studieår'!$F:$G,'1. studieår'!$O:$O,'1. studieår'!$R:$T</definedName>
    <definedName name="Z_B711C9DF_E741_4A27_9293_4E9F012F3AC0_.wvu.Cols" localSheetId="1" hidden="1">'2. studieår'!$O:$O,'2. studieår'!$V:$W,'2. studieår'!$Y:$Z,'2. studieår'!$AB:$AC,'2. studieår'!$AE:$AF</definedName>
    <definedName name="Z_B711C9DF_E741_4A27_9293_4E9F012F3AC0_.wvu.Cols" localSheetId="2" hidden="1">'3. studieår'!$I:$I,'3. studieår'!$S:$S,'3. studieår'!$W:$X,'3. studieår'!$Z:$AA,'3. studieår'!$AC:$AD,'3. studieår'!$AF:$AG</definedName>
    <definedName name="Z_B711C9DF_E741_4A27_9293_4E9F012F3AC0_.wvu.Cols" localSheetId="3" hidden="1">'4. studieår'!$P:$S,'4. studieår'!$Y:$Z,'4. studieår'!$AC:$AG,'4. studieår'!$AI:$AM</definedName>
    <definedName name="Z_B711C9DF_E741_4A27_9293_4E9F012F3AC0_.wvu.Cols" localSheetId="4" hidden="1">Valgemner!$H:$H</definedName>
    <definedName name="Z_B711C9DF_E741_4A27_9293_4E9F012F3AC0_.wvu.FilterData" localSheetId="7" hidden="1">Kontering!$B$3:$O$27</definedName>
    <definedName name="Z_B711C9DF_E741_4A27_9293_4E9F012F3AC0_.wvu.PrintArea" localSheetId="7" hidden="1">Kontering!$B$1:$N$17</definedName>
    <definedName name="Z_B711C9DF_E741_4A27_9293_4E9F012F3AC0_.wvu.Rows" localSheetId="0" hidden="1">'1. studieår'!$25:$25</definedName>
    <definedName name="Z_B711C9DF_E741_4A27_9293_4E9F012F3AC0_.wvu.Rows" localSheetId="3" hidden="1">'4. studieår'!$14:$14</definedName>
    <definedName name="Z_B76C0EA9_E79B_4DA2_9ADE_66DB47109F8F_.wvu.Cols" localSheetId="0" hidden="1">'1. studieår'!$F:$F,'1. studieår'!$I:$I,'1. studieår'!$P:$P</definedName>
    <definedName name="Z_B76C0EA9_E79B_4DA2_9ADE_66DB47109F8F_.wvu.Cols" localSheetId="1" hidden="1">'2. studieår'!#REF!,'2. studieår'!#REF!</definedName>
    <definedName name="Z_B76C0EA9_E79B_4DA2_9ADE_66DB47109F8F_.wvu.Cols" localSheetId="2" hidden="1">'3. studieår'!#REF!,'3. studieår'!#REF!,'3. studieår'!#REF!</definedName>
    <definedName name="Z_B76C0EA9_E79B_4DA2_9ADE_66DB47109F8F_.wvu.Cols" localSheetId="3" hidden="1">'4. studieår'!#REF!,'4. studieår'!#REF!,'4. studieår'!$R:$R</definedName>
    <definedName name="Z_B76C0EA9_E79B_4DA2_9ADE_66DB47109F8F_.wvu.PrintArea" localSheetId="7" hidden="1">Kontering!$B$1:$N$17</definedName>
    <definedName name="Z_B76C0EA9_E79B_4DA2_9ADE_66DB47109F8F_.wvu.Rows" localSheetId="0" hidden="1">'1. studieår'!$4:$4,'1. studieår'!#REF!</definedName>
    <definedName name="Z_B76C0EA9_E79B_4DA2_9ADE_66DB47109F8F_.wvu.Rows" localSheetId="1" hidden="1">'2. studieår'!$34:$34</definedName>
    <definedName name="Z_B76C0EA9_E79B_4DA2_9ADE_66DB47109F8F_.wvu.Rows" localSheetId="2" hidden="1">'3. studieår'!$2:$2,'3. studieår'!$40:$40</definedName>
    <definedName name="Z_B76C0EA9_E79B_4DA2_9ADE_66DB47109F8F_.wvu.Rows" localSheetId="3" hidden="1">'4. studieår'!$34:$34</definedName>
    <definedName name="Z_BB9ED292_532F_438C_A4A6_F8D66D70E0E7_.wvu.Cols" localSheetId="0" hidden="1">'1. studieår'!$F:$F,'1. studieår'!$I:$I,'1. studieår'!$P:$P</definedName>
    <definedName name="Z_BB9ED292_532F_438C_A4A6_F8D66D70E0E7_.wvu.Cols" localSheetId="1" hidden="1">'2. studieår'!#REF!,'2. studieår'!#REF!</definedName>
    <definedName name="Z_BB9ED292_532F_438C_A4A6_F8D66D70E0E7_.wvu.Cols" localSheetId="2" hidden="1">'3. studieår'!#REF!,'3. studieår'!#REF!,'3. studieår'!#REF!</definedName>
    <definedName name="Z_BB9ED292_532F_438C_A4A6_F8D66D70E0E7_.wvu.Cols" localSheetId="3" hidden="1">'4. studieår'!#REF!,'4. studieår'!#REF!,'4. studieår'!$R:$R</definedName>
    <definedName name="Z_BB9ED292_532F_438C_A4A6_F8D66D70E0E7_.wvu.PrintArea" localSheetId="7" hidden="1">Kontering!$B$1:$N$17</definedName>
    <definedName name="Z_BB9ED292_532F_438C_A4A6_F8D66D70E0E7_.wvu.Rows" localSheetId="0" hidden="1">'1. studieår'!$4:$4,'1. studieår'!#REF!</definedName>
    <definedName name="Z_BB9ED292_532F_438C_A4A6_F8D66D70E0E7_.wvu.Rows" localSheetId="1" hidden="1">'2. studieår'!$34:$34</definedName>
    <definedName name="Z_BB9ED292_532F_438C_A4A6_F8D66D70E0E7_.wvu.Rows" localSheetId="2" hidden="1">'3. studieår'!$2:$2,'3. studieår'!$40:$40</definedName>
    <definedName name="Z_BB9ED292_532F_438C_A4A6_F8D66D70E0E7_.wvu.Rows" localSheetId="3" hidden="1">'4. studieår'!$34:$34</definedName>
    <definedName name="Z_C1FECEF4_D739_4F39_9B89_CF4C04A77A9B_.wvu.Cols" localSheetId="0" hidden="1">'1. studieår'!$F:$F,'1. studieår'!$I:$I,'1. studieår'!$P:$P</definedName>
    <definedName name="Z_C1FECEF4_D739_4F39_9B89_CF4C04A77A9B_.wvu.Cols" localSheetId="1" hidden="1">'2. studieår'!#REF!,'2. studieår'!#REF!</definedName>
    <definedName name="Z_C1FECEF4_D739_4F39_9B89_CF4C04A77A9B_.wvu.Cols" localSheetId="2" hidden="1">'3. studieår'!#REF!,'3. studieår'!#REF!,'3. studieår'!#REF!</definedName>
    <definedName name="Z_C1FECEF4_D739_4F39_9B89_CF4C04A77A9B_.wvu.Cols" localSheetId="3" hidden="1">'4. studieår'!#REF!,'4. studieår'!#REF!,'4. studieår'!$R:$R</definedName>
    <definedName name="Z_C1FECEF4_D739_4F39_9B89_CF4C04A77A9B_.wvu.PrintArea" localSheetId="7" hidden="1">Kontering!$B$1:$N$17</definedName>
    <definedName name="Z_C1FECEF4_D739_4F39_9B89_CF4C04A77A9B_.wvu.Rows" localSheetId="0" hidden="1">'1. studieår'!$4:$4,'1. studieår'!#REF!</definedName>
    <definedName name="Z_C1FECEF4_D739_4F39_9B89_CF4C04A77A9B_.wvu.Rows" localSheetId="1" hidden="1">'2. studieår'!$34:$34</definedName>
    <definedName name="Z_C1FECEF4_D739_4F39_9B89_CF4C04A77A9B_.wvu.Rows" localSheetId="2" hidden="1">'3. studieår'!$2:$2,'3. studieår'!$40:$40</definedName>
    <definedName name="Z_C1FECEF4_D739_4F39_9B89_CF4C04A77A9B_.wvu.Rows" localSheetId="3" hidden="1">'4. studieår'!$34:$34</definedName>
    <definedName name="Z_C3BF634C_AA16_4BD6_93CF_AD12048346B7_.wvu.Cols" localSheetId="0" hidden="1">'1. studieår'!$F:$G,'1. studieår'!$O:$O,'1. studieår'!$R:$T</definedName>
    <definedName name="Z_C3BF634C_AA16_4BD6_93CF_AD12048346B7_.wvu.Cols" localSheetId="1" hidden="1">'2. studieår'!$O:$O,'2. studieår'!$V:$W,'2. studieår'!$Y:$Z,'2. studieår'!$AB:$AC,'2. studieår'!$AE:$AF</definedName>
    <definedName name="Z_C3BF634C_AA16_4BD6_93CF_AD12048346B7_.wvu.Cols" localSheetId="2" hidden="1">'3. studieår'!$I:$I,'3. studieår'!$S:$S,'3. studieår'!$W:$X,'3. studieår'!$Z:$AA,'3. studieår'!$AC:$AD,'3. studieår'!$AF:$AG</definedName>
    <definedName name="Z_C3BF634C_AA16_4BD6_93CF_AD12048346B7_.wvu.Cols" localSheetId="3" hidden="1">'4. studieår'!$P:$S,'4. studieår'!$Y:$Z,'4. studieår'!$AC:$AG,'4. studieår'!$AI:$AM</definedName>
    <definedName name="Z_C3BF634C_AA16_4BD6_93CF_AD12048346B7_.wvu.Cols" localSheetId="4" hidden="1">Valgemner!$H:$H</definedName>
    <definedName name="Z_C3BF634C_AA16_4BD6_93CF_AD12048346B7_.wvu.FilterData" localSheetId="7" hidden="1">Kontering!$B$3:$O$27</definedName>
    <definedName name="Z_C3BF634C_AA16_4BD6_93CF_AD12048346B7_.wvu.PrintArea" localSheetId="7" hidden="1">Kontering!$B$1:$N$17</definedName>
    <definedName name="Z_C3BF634C_AA16_4BD6_93CF_AD12048346B7_.wvu.Rows" localSheetId="0" hidden="1">'1. studieår'!$25:$25</definedName>
    <definedName name="Z_C3BF634C_AA16_4BD6_93CF_AD12048346B7_.wvu.Rows" localSheetId="3" hidden="1">'4. studieår'!$14:$14</definedName>
    <definedName name="Z_CB7E9FB3_C7A3_44DE_98E4_19C23B487785_.wvu.Cols" localSheetId="0" hidden="1">'1. studieår'!$F:$G,'1. studieår'!$O:$O,'1. studieår'!$R:$T</definedName>
    <definedName name="Z_CB7E9FB3_C7A3_44DE_98E4_19C23B487785_.wvu.Cols" localSheetId="1" hidden="1">'2. studieår'!$O:$O,'2. studieår'!$V:$W,'2. studieår'!$Y:$Z,'2. studieår'!$AB:$AC,'2. studieår'!$AE:$AF</definedName>
    <definedName name="Z_CB7E9FB3_C7A3_44DE_98E4_19C23B487785_.wvu.Cols" localSheetId="2" hidden="1">'3. studieår'!$I:$I,'3. studieår'!$S:$S,'3. studieår'!$W:$X,'3. studieår'!$Z:$AA,'3. studieår'!$AC:$AD,'3. studieår'!$AF:$AG</definedName>
    <definedName name="Z_CB7E9FB3_C7A3_44DE_98E4_19C23B487785_.wvu.Cols" localSheetId="3" hidden="1">'4. studieår'!$P:$S,'4. studieår'!$Y:$Z,'4. studieår'!$AC:$AG,'4. studieår'!$AI:$AM</definedName>
    <definedName name="Z_CB7E9FB3_C7A3_44DE_98E4_19C23B487785_.wvu.Cols" localSheetId="6" hidden="1">'Oppsummering '!$C:$C,'Oppsummering '!$E:$E</definedName>
    <definedName name="Z_CB7E9FB3_C7A3_44DE_98E4_19C23B487785_.wvu.Cols" localSheetId="4" hidden="1">Valgemner!$H:$H</definedName>
    <definedName name="Z_CB7E9FB3_C7A3_44DE_98E4_19C23B487785_.wvu.FilterData" localSheetId="7" hidden="1">Kontering!$B$3:$O$27</definedName>
    <definedName name="Z_CB7E9FB3_C7A3_44DE_98E4_19C23B487785_.wvu.PrintArea" localSheetId="7" hidden="1">Kontering!$B$1:$N$17</definedName>
    <definedName name="Z_CB7E9FB3_C7A3_44DE_98E4_19C23B487785_.wvu.Rows" localSheetId="0" hidden="1">'1. studieår'!$25:$25</definedName>
    <definedName name="Z_CB7E9FB3_C7A3_44DE_98E4_19C23B487785_.wvu.Rows" localSheetId="3" hidden="1">'4. studieår'!$14:$14</definedName>
    <definedName name="Z_E5349645_7714_4437_B9BC_26ED822E5BC5_.wvu.Cols" localSheetId="0" hidden="1">'1. studieår'!$F:$F,'1. studieår'!$I:$I,'1. studieår'!$P:$P,'1. studieår'!#REF!</definedName>
    <definedName name="Z_E5349645_7714_4437_B9BC_26ED822E5BC5_.wvu.Cols" localSheetId="1" hidden="1">'2. studieår'!#REF!,'2. studieår'!#REF!,'2. studieår'!#REF!</definedName>
    <definedName name="Z_E5349645_7714_4437_B9BC_26ED822E5BC5_.wvu.Cols" localSheetId="2" hidden="1">'3. studieår'!#REF!,'3. studieår'!#REF!,'3. studieår'!#REF!</definedName>
    <definedName name="Z_E5349645_7714_4437_B9BC_26ED822E5BC5_.wvu.Cols" localSheetId="3" hidden="1">'4. studieår'!#REF!,'4. studieår'!#REF!,'4. studieår'!$P:$R</definedName>
    <definedName name="Z_E5349645_7714_4437_B9BC_26ED822E5BC5_.wvu.Cols" localSheetId="4" hidden="1">Valgemner!$H:$H</definedName>
    <definedName name="Z_E5349645_7714_4437_B9BC_26ED822E5BC5_.wvu.FilterData" localSheetId="7" hidden="1">Kontering!$B$3:$O$27</definedName>
    <definedName name="Z_E5349645_7714_4437_B9BC_26ED822E5BC5_.wvu.PrintArea" localSheetId="7" hidden="1">Kontering!$B$1:$N$17</definedName>
    <definedName name="Z_E5349645_7714_4437_B9BC_26ED822E5BC5_.wvu.Rows" localSheetId="0" hidden="1">'1. studieår'!$25:$25</definedName>
    <definedName name="Z_F170D8DF_3539_4353_BD8B_1F5EB452DAE5_.wvu.Cols" localSheetId="0" hidden="1">'1. studieår'!$F:$F,'1. studieår'!$I:$I,'1. studieår'!$P:$P,'1. studieår'!#REF!</definedName>
    <definedName name="Z_F170D8DF_3539_4353_BD8B_1F5EB452DAE5_.wvu.Cols" localSheetId="1" hidden="1">'2. studieår'!#REF!,'2. studieår'!#REF!,'2. studieår'!#REF!</definedName>
    <definedName name="Z_F170D8DF_3539_4353_BD8B_1F5EB452DAE5_.wvu.Cols" localSheetId="2" hidden="1">'3. studieår'!#REF!,'3. studieår'!#REF!,'3. studieår'!#REF!</definedName>
    <definedName name="Z_F170D8DF_3539_4353_BD8B_1F5EB452DAE5_.wvu.Cols" localSheetId="3" hidden="1">'4. studieår'!#REF!,'4. studieår'!#REF!,'4. studieår'!$P:$R</definedName>
    <definedName name="Z_F170D8DF_3539_4353_BD8B_1F5EB452DAE5_.wvu.Cols" localSheetId="4" hidden="1">Valgemner!$H:$H</definedName>
    <definedName name="Z_F170D8DF_3539_4353_BD8B_1F5EB452DAE5_.wvu.FilterData" localSheetId="7" hidden="1">Kontering!$B$3:$O$27</definedName>
    <definedName name="Z_F170D8DF_3539_4353_BD8B_1F5EB452DAE5_.wvu.PrintArea" localSheetId="7" hidden="1">Kontering!$B$1:$N$17</definedName>
    <definedName name="Z_F170D8DF_3539_4353_BD8B_1F5EB452DAE5_.wvu.Rows" localSheetId="0" hidden="1">'1. studieår'!$25:$25</definedName>
    <definedName name="Z_F38A39FA_EF57_4062_A2AD_F3BEB88C5762_.wvu.Cols" localSheetId="0" hidden="1">'1. studieår'!$F:$F,'1. studieår'!$I:$I,'1. studieår'!$P:$P</definedName>
    <definedName name="Z_F38A39FA_EF57_4062_A2AD_F3BEB88C5762_.wvu.Cols" localSheetId="1" hidden="1">'2. studieår'!#REF!,'2. studieår'!#REF!,'2. studieår'!#REF!</definedName>
    <definedName name="Z_F38A39FA_EF57_4062_A2AD_F3BEB88C5762_.wvu.Cols" localSheetId="2" hidden="1">'3. studieår'!#REF!,'3. studieår'!#REF!,'3. studieår'!#REF!</definedName>
    <definedName name="Z_F38A39FA_EF57_4062_A2AD_F3BEB88C5762_.wvu.Cols" localSheetId="3" hidden="1">'4. studieår'!#REF!,'4. studieår'!#REF!,'4. studieår'!$R:$R</definedName>
    <definedName name="Z_F38A39FA_EF57_4062_A2AD_F3BEB88C5762_.wvu.FilterData" localSheetId="7" hidden="1">Kontering!$B$3:$O$27</definedName>
    <definedName name="Z_F38A39FA_EF57_4062_A2AD_F3BEB88C5762_.wvu.PrintArea" localSheetId="7" hidden="1">Kontering!$B$1:$N$17</definedName>
    <definedName name="Z_F727610F_D041_4412_A81F_AFD013C44971_.wvu.Cols" localSheetId="0" hidden="1">'1. studieår'!$F:$F,'1. studieår'!$I:$I,'1. studieår'!$P:$P,'1. studieår'!#REF!</definedName>
    <definedName name="Z_F727610F_D041_4412_A81F_AFD013C44971_.wvu.Cols" localSheetId="1" hidden="1">'2. studieår'!#REF!,'2. studieår'!#REF!,'2. studieår'!#REF!</definedName>
    <definedName name="Z_F727610F_D041_4412_A81F_AFD013C44971_.wvu.Cols" localSheetId="2" hidden="1">'3. studieår'!#REF!,'3. studieår'!#REF!,'3. studieår'!#REF!</definedName>
    <definedName name="Z_F727610F_D041_4412_A81F_AFD013C44971_.wvu.Cols" localSheetId="3" hidden="1">'4. studieår'!#REF!,'4. studieår'!#REF!,'4. studieår'!$P:$R</definedName>
    <definedName name="Z_F727610F_D041_4412_A81F_AFD013C44971_.wvu.Cols" localSheetId="4" hidden="1">Valgemner!$H:$H</definedName>
    <definedName name="Z_F727610F_D041_4412_A81F_AFD013C44971_.wvu.FilterData" localSheetId="7" hidden="1">Kontering!$B$3:$O$27</definedName>
    <definedName name="Z_F727610F_D041_4412_A81F_AFD013C44971_.wvu.PrintArea" localSheetId="7" hidden="1">Kontering!$B$1:$N$17</definedName>
    <definedName name="Z_F727610F_D041_4412_A81F_AFD013C44971_.wvu.Rows" localSheetId="0" hidden="1">'1. studieår'!$25:$25</definedName>
  </definedNames>
  <calcPr calcId="162913"/>
  <customWorkbookViews>
    <customWorkbookView name="Trond Skjeie - Personlig visning" guid="{CB7E9FB3-C7A3-44DE-98E4-19C23B487785}" mergeInterval="0" personalView="1" maximized="1" xWindow="-8" yWindow="-8" windowWidth="1936" windowHeight="1176" activeSheetId="7"/>
    <customWorkbookView name="Frode Lyshaugen - Personal View" guid="{0F10E6D6-430E-4539-8602-E1FCB30ABD1B}" mergeInterval="0" personalView="1" maximized="1" xWindow="-8" yWindow="-8" windowWidth="1936" windowHeight="1176" activeSheetId="1"/>
    <customWorkbookView name="Randi Saunes - Personlig visning" guid="{6A1E5DF8-D380-4588-9B84-662BAE41D0D9}" mergeInterval="0" personalView="1" maximized="1" xWindow="-11" yWindow="-11" windowWidth="1942" windowHeight="1042" activeSheetId="2"/>
    <customWorkbookView name="Halvor Hegna Ingvaldsen - Personlig visning" guid="{C3BF634C-AA16-4BD6-93CF-AD12048346B7}" mergeInterval="0" personalView="1" maximized="1" xWindow="-9" yWindow="-9" windowWidth="2418" windowHeight="1468" activeSheetId="3"/>
    <customWorkbookView name="Anders Westbye - Personal View" guid="{2A2C752C-8C42-4F9A-A40C-FE7F7014F210}" mergeInterval="0" personalView="1" maximized="1" xWindow="-11" yWindow="-11" windowWidth="1942" windowHeight="1042" activeSheetId="2"/>
    <customWorkbookView name="Eivor Daae Mæland - Personal View" guid="{AC2983A2-F978-40B7-A196-35F34E705157}" mergeInterval="0" personalView="1" maximized="1" xWindow="1912" yWindow="-8" windowWidth="1936" windowHeight="1176" activeSheetId="4"/>
    <customWorkbookView name="Elisabeth Ulleberg - Personal View" guid="{749D43A3-052D-442F-AE88-F6CCB83A1282}" mergeInterval="0" personalView="1" maximized="1" windowWidth="1276" windowHeight="575" activeSheetId="2"/>
    <customWorkbookView name="&quot;lilliaal&quot; - Personal View" guid="{F38A39FA-EF57-4062-A2AD-F3BEB88C5762}" mergeInterval="0" personalView="1" maximized="1" windowWidth="1362" windowHeight="488" activeSheetId="2"/>
    <customWorkbookView name="Lillian M. Stang Almaas - Personal View" guid="{83C69039-3E29-46E1-85FB-B9165E0BFA91}" mergeInterval="0" personalView="1" maximized="1" windowWidth="1920" windowHeight="994" activeSheetId="2"/>
    <customWorkbookView name="Elisabeth Reien - Personal View" guid="{C1FECEF4-D739-4F39-9B89-CF4C04A77A9B}" mergeInterval="0" personalView="1" maximized="1" windowWidth="1920" windowHeight="1063" activeSheetId="5"/>
    <customWorkbookView name="tronsk - Personal View" guid="{91227156-ECBD-48FD-8964-78F3608400FC}" mergeInterval="0" personalView="1" maximized="1" xWindow="1" yWindow="1" windowWidth="1020" windowHeight="496" activeSheetId="7"/>
    <customWorkbookView name="Karoline Stensvik - Personal View" guid="{B76C0EA9-E79B-4DA2-9ADE-66DB47109F8F}" mergeInterval="0" personalView="1" maximized="1" windowWidth="1920" windowHeight="975" activeSheetId="4"/>
    <customWorkbookView name="Maria Haldeaki - Personal View" guid="{726FF687-50E0-4F8A-BCCB-6DA9E6D367D4}" mergeInterval="0" personalView="1" maximized="1" windowWidth="1920" windowHeight="1043" activeSheetId="1"/>
    <customWorkbookView name="Anne-Brit Strandset - Personal View" guid="{BB9ED292-532F-438C-A4A6-F8D66D70E0E7}" mergeInterval="0" personalView="1" maximized="1" windowWidth="1920" windowHeight="821" activeSheetId="5"/>
    <customWorkbookView name="Morten Slind Olsen - Personal View" guid="{7AE955BB-7BF8-4CA4-ABF1-6A0BB53A48AD}" mergeInterval="0" personalView="1" maximized="1" windowWidth="1920" windowHeight="975" activeSheetId="5"/>
    <customWorkbookView name="Nina Lofstad - Personal View" guid="{43EFFC0A-CCC0-43DD-A273-4AF58757EC00}" mergeInterval="0" personalView="1" maximized="1" windowWidth="1920" windowHeight="974" activeSheetId="3"/>
    <customWorkbookView name="Fredrikke Holt Kleivane - Personal View" guid="{E5349645-7714-4437-B9BC-26ED822E5BC5}" mergeInterval="0" personalView="1" maximized="1" windowWidth="1920" windowHeight="975" activeSheetId="4"/>
    <customWorkbookView name="Eivind Roll - Personal View" guid="{46AB9545-8BEE-4A2F-B820-9F80AC24A11B}" mergeInterval="0" personalView="1" maximized="1" xWindow="-8" yWindow="-8" windowWidth="1296" windowHeight="776" activeSheetId="1"/>
    <customWorkbookView name="Trond Skjeie - Personal View" guid="{F727610F-D041-4412-A81F-AFD013C44971}" mergeInterval="0" personalView="1" maximized="1" xWindow="-8" yWindow="-8" windowWidth="1936" windowHeight="1056" activeSheetId="7"/>
    <customWorkbookView name="Julie Orning - Personlig visning" guid="{F170D8DF-3539-4353-BD8B-1F5EB452DAE5}" mergeInterval="0" personalView="1" maximized="1" xWindow="-9" yWindow="-9" windowWidth="3458" windowHeight="1410" activeSheetId="4"/>
    <customWorkbookView name="Julie Orning - Personal View" guid="{1283C6B5-B05C-447B-8854-CDB081C03FD4}" mergeInterval="0" personalView="1" maximized="1" xWindow="-11" yWindow="-11" windowWidth="1942" windowHeight="1042" activeSheetId="1"/>
    <customWorkbookView name="Vibeke Andersen - Personal View" guid="{37BC2192-ABF8-4439-93C4-8E65E7EF90F5}" mergeInterval="0" personalView="1" maximized="1" xWindow="-11" yWindow="-11" windowWidth="1942" windowHeight="1042" activeSheetId="4"/>
    <customWorkbookView name="Kari Malene Jørgensen Dyrstad - Personal View" guid="{7084DC93-B2BE-4098-87E1-DAC5FBCE0E0A}" mergeInterval="0" personalView="1" maximized="1" xWindow="-8" yWindow="-8" windowWidth="1382" windowHeight="744" activeSheetId="3"/>
    <customWorkbookView name="Vibeke Andersen - Personlig visning" guid="{0E885D9C-CD7C-4655-8709-41793617E0A7}" mergeInterval="0" personalView="1" maximized="1" xWindow="3832" yWindow="-8" windowWidth="1936" windowHeight="1176" activeSheetId="4"/>
    <customWorkbookView name="Heidi Raae Vinge - Personal View" guid="{B711C9DF-E741-4A27-9293-4E9F012F3AC0}" mergeInterval="0" personalView="1" maximized="1" xWindow="-8" yWindow="-8" windowWidth="1936" windowHeight="1176" activeSheetId="1"/>
    <customWorkbookView name="Nina Lofstad - Personlig visning" guid="{1241DC17-BD41-46C5-9DB1-684763A09F24}" mergeInterval="0" personalView="1" xWindow="2214" yWindow="308" windowWidth="1440" windowHeight="84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7" l="1"/>
  <c r="M6" i="7"/>
  <c r="M5" i="7"/>
  <c r="M4" i="7"/>
  <c r="J7" i="7"/>
  <c r="J6" i="7"/>
  <c r="J5" i="7"/>
  <c r="C20" i="7" l="1"/>
  <c r="C19" i="7"/>
  <c r="C14" i="7"/>
  <c r="C13" i="7"/>
  <c r="C12" i="7"/>
  <c r="C11" i="7"/>
  <c r="C10" i="7"/>
  <c r="C8" i="7"/>
  <c r="C7" i="7"/>
  <c r="C6" i="7"/>
  <c r="C5" i="7"/>
  <c r="C4" i="7"/>
  <c r="B20" i="7"/>
  <c r="B19" i="7"/>
  <c r="B14" i="7"/>
  <c r="B13" i="7"/>
  <c r="B12" i="7"/>
  <c r="B11" i="7"/>
  <c r="B10" i="7"/>
  <c r="B8" i="7"/>
  <c r="B7" i="7"/>
  <c r="B6" i="7"/>
  <c r="B5" i="7"/>
  <c r="B4" i="7"/>
  <c r="F13" i="7"/>
  <c r="K4" i="8" l="1"/>
  <c r="R22" i="7" l="1"/>
  <c r="S22" i="7"/>
  <c r="AH28" i="4"/>
  <c r="AH27" i="4"/>
  <c r="AH26" i="4"/>
  <c r="AH25" i="4"/>
  <c r="AH24" i="4"/>
  <c r="AH23" i="4"/>
  <c r="AH21" i="4"/>
  <c r="AH20" i="4"/>
  <c r="AH19" i="4"/>
  <c r="AH15" i="4"/>
  <c r="AH14" i="4"/>
  <c r="AH13" i="4"/>
  <c r="AH12" i="4"/>
  <c r="AH11" i="4"/>
  <c r="AA28" i="4"/>
  <c r="AA27" i="4"/>
  <c r="AA26" i="4"/>
  <c r="AA25" i="4"/>
  <c r="AA24" i="4"/>
  <c r="AA23" i="4"/>
  <c r="AA21" i="4"/>
  <c r="AA20" i="4"/>
  <c r="AA19" i="4"/>
  <c r="AA12" i="4"/>
  <c r="AA13" i="4"/>
  <c r="AA14" i="4"/>
  <c r="AA15" i="4"/>
  <c r="AA11" i="4"/>
  <c r="P29" i="3"/>
  <c r="Q29" i="3"/>
  <c r="R29" i="3"/>
  <c r="AE25" i="3"/>
  <c r="AE24" i="3"/>
  <c r="AE23" i="3"/>
  <c r="AE22" i="3"/>
  <c r="AE21" i="3"/>
  <c r="AE17" i="3"/>
  <c r="AE13" i="3"/>
  <c r="AE12" i="3"/>
  <c r="AE11" i="3"/>
  <c r="AE10" i="3"/>
  <c r="AE9" i="3"/>
  <c r="AB25" i="3"/>
  <c r="AB24" i="3"/>
  <c r="AB23" i="3"/>
  <c r="AB22" i="3"/>
  <c r="AB21" i="3"/>
  <c r="AB17" i="3"/>
  <c r="AB10" i="3"/>
  <c r="AB11" i="3"/>
  <c r="AB12" i="3"/>
  <c r="AB13" i="3"/>
  <c r="AB9" i="3"/>
  <c r="AC27" i="1"/>
  <c r="AC25" i="1"/>
  <c r="AC24" i="1"/>
  <c r="AC23" i="1"/>
  <c r="AC22" i="1"/>
  <c r="AC18" i="1"/>
  <c r="AC17" i="1"/>
  <c r="AC16" i="1"/>
  <c r="AC15" i="1"/>
  <c r="AC14" i="1"/>
  <c r="AC13" i="1"/>
  <c r="AC12" i="1"/>
  <c r="AB27" i="1"/>
  <c r="AB25" i="1"/>
  <c r="AB24" i="1"/>
  <c r="AB23" i="1"/>
  <c r="AB22" i="1"/>
  <c r="AB13" i="1"/>
  <c r="AB14" i="1"/>
  <c r="AB15" i="1"/>
  <c r="AB16" i="1"/>
  <c r="AB17" i="1"/>
  <c r="AB18" i="1"/>
  <c r="AB12" i="1"/>
  <c r="AA27" i="1"/>
  <c r="AA25" i="1"/>
  <c r="AA24" i="1"/>
  <c r="AA23" i="1"/>
  <c r="AA22" i="1"/>
  <c r="AA13" i="1"/>
  <c r="AA14" i="1"/>
  <c r="AA15" i="1"/>
  <c r="AA16" i="1"/>
  <c r="AA17" i="1"/>
  <c r="AA18" i="1"/>
  <c r="AA12" i="1"/>
  <c r="E14" i="7" l="1"/>
  <c r="S14" i="7" s="1"/>
  <c r="D14" i="7"/>
  <c r="Q14" i="7" s="1"/>
  <c r="R14" i="7"/>
  <c r="P14" i="7"/>
  <c r="E20" i="7"/>
  <c r="S20" i="7" s="1"/>
  <c r="D20" i="7"/>
  <c r="Q20" i="7" s="1"/>
  <c r="R20" i="7"/>
  <c r="P20" i="7"/>
  <c r="E19" i="7"/>
  <c r="D19" i="7"/>
  <c r="E10" i="7"/>
  <c r="D10" i="7"/>
  <c r="E11" i="7"/>
  <c r="D11" i="7"/>
  <c r="E12" i="7"/>
  <c r="D12" i="7"/>
  <c r="E13" i="7"/>
  <c r="D13" i="7"/>
  <c r="E8" i="7"/>
  <c r="D8" i="7"/>
  <c r="E7" i="7"/>
  <c r="D7" i="7"/>
  <c r="E6" i="7"/>
  <c r="D6" i="7"/>
  <c r="E5" i="7"/>
  <c r="D5" i="7"/>
  <c r="E4" i="7"/>
  <c r="D4" i="7"/>
  <c r="E23" i="7" l="1"/>
  <c r="B23" i="7"/>
  <c r="C23" i="7"/>
  <c r="D23" i="7"/>
  <c r="K22" i="7"/>
  <c r="Q22" i="7" s="1"/>
  <c r="K21" i="7"/>
  <c r="Q21" i="7" s="1"/>
  <c r="K19" i="7"/>
  <c r="Q19" i="7" s="1"/>
  <c r="K17" i="7"/>
  <c r="Q17" i="7" s="1"/>
  <c r="K13" i="7" l="1"/>
  <c r="Q13" i="7" s="1"/>
  <c r="K12" i="7"/>
  <c r="Q12" i="7" s="1"/>
  <c r="K11" i="7"/>
  <c r="Q11" i="7" s="1"/>
  <c r="K10" i="7"/>
  <c r="Q10" i="7" s="1"/>
  <c r="O8" i="7"/>
  <c r="L8" i="7"/>
  <c r="S8" i="7" s="1"/>
  <c r="K8" i="7"/>
  <c r="Q8" i="7" s="1"/>
  <c r="O7" i="7"/>
  <c r="K7" i="7"/>
  <c r="Q7" i="7" s="1"/>
  <c r="O6" i="7"/>
  <c r="K6" i="7"/>
  <c r="Q6" i="7" s="1"/>
  <c r="O5" i="7"/>
  <c r="K5" i="7"/>
  <c r="Q5" i="7" s="1"/>
  <c r="O4" i="7"/>
  <c r="K4" i="7"/>
  <c r="Q4" i="7" s="1"/>
  <c r="L28" i="4" l="1"/>
  <c r="L27" i="4"/>
  <c r="L26" i="4"/>
  <c r="L25" i="4"/>
  <c r="L24" i="4"/>
  <c r="L23" i="4"/>
  <c r="L21" i="4"/>
  <c r="L20" i="4"/>
  <c r="L19" i="4"/>
  <c r="L12" i="4"/>
  <c r="L13" i="4"/>
  <c r="L14" i="4"/>
  <c r="L15" i="4"/>
  <c r="L11" i="4"/>
  <c r="S11" i="4"/>
  <c r="M25" i="3"/>
  <c r="M24" i="3"/>
  <c r="M23" i="3"/>
  <c r="M22" i="3"/>
  <c r="M21" i="3"/>
  <c r="M17" i="3"/>
  <c r="M10" i="3"/>
  <c r="M11" i="3"/>
  <c r="M12" i="3"/>
  <c r="M13" i="3"/>
  <c r="M9" i="3"/>
  <c r="S9" i="3"/>
  <c r="S26" i="2"/>
  <c r="T26" i="2" s="1"/>
  <c r="U26" i="2" s="1"/>
  <c r="S7" i="2"/>
  <c r="S10" i="2"/>
  <c r="S11" i="2"/>
  <c r="S12" i="2"/>
  <c r="S13" i="2"/>
  <c r="S14" i="2"/>
  <c r="S15" i="2"/>
  <c r="S19" i="2"/>
  <c r="S20" i="2"/>
  <c r="S21" i="2"/>
  <c r="S22" i="2"/>
  <c r="S23" i="2"/>
  <c r="S24" i="2"/>
  <c r="S25" i="2"/>
  <c r="S27" i="2"/>
  <c r="S28" i="2"/>
  <c r="O7" i="2"/>
  <c r="O10" i="2"/>
  <c r="O11" i="2"/>
  <c r="O12" i="2"/>
  <c r="O13" i="2"/>
  <c r="O14" i="2"/>
  <c r="O15" i="2"/>
  <c r="O19" i="2"/>
  <c r="O20" i="2"/>
  <c r="O21" i="2"/>
  <c r="O22" i="2"/>
  <c r="O23" i="2"/>
  <c r="O24" i="2"/>
  <c r="O25" i="2"/>
  <c r="O27" i="2"/>
  <c r="O28" i="2"/>
  <c r="L29" i="2"/>
  <c r="L27" i="2"/>
  <c r="L26" i="2"/>
  <c r="L25" i="2"/>
  <c r="L24" i="2"/>
  <c r="L23" i="2"/>
  <c r="L22" i="2"/>
  <c r="L21" i="2"/>
  <c r="L20" i="2"/>
  <c r="L19" i="2"/>
  <c r="L15" i="2"/>
  <c r="L14" i="2"/>
  <c r="L13" i="2"/>
  <c r="L12" i="2"/>
  <c r="L11" i="2"/>
  <c r="L10" i="2"/>
  <c r="L7" i="2"/>
  <c r="V30" i="2"/>
  <c r="I30" i="2"/>
  <c r="X18" i="1"/>
  <c r="X17" i="1"/>
  <c r="T18" i="1"/>
  <c r="N18" i="1"/>
  <c r="N17" i="1"/>
  <c r="N27" i="1"/>
  <c r="N25" i="1"/>
  <c r="N24" i="1"/>
  <c r="N23" i="1"/>
  <c r="N22" i="1"/>
  <c r="N13" i="1"/>
  <c r="N14" i="1"/>
  <c r="N15" i="1"/>
  <c r="N16" i="1"/>
  <c r="N12" i="1"/>
  <c r="X12" i="1"/>
  <c r="O30" i="2" l="1"/>
  <c r="M29" i="3"/>
  <c r="S30" i="2"/>
  <c r="L30" i="2"/>
  <c r="Y18" i="1"/>
  <c r="N29" i="1"/>
  <c r="Y17" i="1"/>
  <c r="B17" i="1" l="1"/>
  <c r="B18" i="1"/>
  <c r="K5" i="8" s="1"/>
  <c r="H16" i="7"/>
  <c r="C8" i="6"/>
  <c r="H15" i="7" s="1"/>
  <c r="I15" i="7" l="1"/>
  <c r="P15" i="7"/>
  <c r="I16" i="7"/>
  <c r="P16" i="7"/>
  <c r="O21" i="4"/>
  <c r="K16" i="7" l="1"/>
  <c r="R16" i="7"/>
  <c r="K15" i="7"/>
  <c r="R15" i="7"/>
  <c r="G43" i="5"/>
  <c r="D12" i="5"/>
  <c r="E12" i="5" s="1"/>
  <c r="L15" i="7" l="1"/>
  <c r="S15" i="7" s="1"/>
  <c r="Q15" i="7"/>
  <c r="L16" i="7"/>
  <c r="S16" i="7" s="1"/>
  <c r="Q16" i="7"/>
  <c r="G12" i="5"/>
  <c r="AK17" i="3"/>
  <c r="Y17" i="3"/>
  <c r="T17" i="3"/>
  <c r="S17" i="3"/>
  <c r="U17" i="3" s="1"/>
  <c r="V17" i="3" s="1"/>
  <c r="C17" i="3" l="1"/>
  <c r="B17" i="3"/>
  <c r="AJ17" i="3"/>
  <c r="AF17" i="3"/>
  <c r="D55" i="5"/>
  <c r="E55" i="5" s="1"/>
  <c r="G55" i="5" s="1"/>
  <c r="G2" i="4"/>
  <c r="X21" i="4" s="1"/>
  <c r="S25" i="3"/>
  <c r="T25" i="3"/>
  <c r="Y24" i="3"/>
  <c r="T24" i="3"/>
  <c r="S24" i="3"/>
  <c r="Y21" i="3"/>
  <c r="T21" i="3"/>
  <c r="S21" i="3"/>
  <c r="Y13" i="3"/>
  <c r="T13" i="3"/>
  <c r="S13" i="3"/>
  <c r="AC30" i="2"/>
  <c r="AB30" i="2"/>
  <c r="Z30" i="2"/>
  <c r="Y30" i="2"/>
  <c r="W30" i="2"/>
  <c r="E30" i="2"/>
  <c r="D30" i="2"/>
  <c r="AA29" i="2"/>
  <c r="U24" i="3" l="1"/>
  <c r="V24" i="3" s="1"/>
  <c r="C24" i="3" s="1"/>
  <c r="AA30" i="2"/>
  <c r="B29" i="2"/>
  <c r="AE29" i="2"/>
  <c r="C29" i="2"/>
  <c r="U13" i="3"/>
  <c r="V13" i="3" s="1"/>
  <c r="C13" i="3" s="1"/>
  <c r="U25" i="3"/>
  <c r="U21" i="3"/>
  <c r="V21" i="3" s="1"/>
  <c r="C21" i="3" s="1"/>
  <c r="C16" i="8"/>
  <c r="C15" i="8"/>
  <c r="C14" i="8"/>
  <c r="C13" i="8"/>
  <c r="C12" i="8"/>
  <c r="C11" i="8"/>
  <c r="C10" i="8"/>
  <c r="C9" i="8"/>
  <c r="C8" i="8"/>
  <c r="C7" i="8"/>
  <c r="C6" i="8"/>
  <c r="C5" i="8"/>
  <c r="C4" i="8"/>
  <c r="B13" i="3" l="1"/>
  <c r="AF13" i="3"/>
  <c r="AF21" i="3"/>
  <c r="V25" i="3"/>
  <c r="C25" i="3" s="1"/>
  <c r="B25" i="3"/>
  <c r="AF25" i="3"/>
  <c r="AF24" i="3"/>
  <c r="B21" i="3"/>
  <c r="B24" i="3"/>
  <c r="Y9" i="3" l="1"/>
  <c r="Y10" i="3"/>
  <c r="Y11" i="3"/>
  <c r="Y12" i="3"/>
  <c r="C12" i="6"/>
  <c r="AJ30" i="4"/>
  <c r="AI30" i="4"/>
  <c r="AH30" i="2" l="1"/>
  <c r="I8" i="8" s="1"/>
  <c r="X26" i="2"/>
  <c r="W29" i="1"/>
  <c r="V29" i="1"/>
  <c r="L29" i="1"/>
  <c r="C26" i="2" l="1"/>
  <c r="B26" i="2"/>
  <c r="AE9" i="4" l="1"/>
  <c r="AE22" i="1"/>
  <c r="AE30" i="1" s="1"/>
  <c r="AG22" i="1"/>
  <c r="AA29" i="1" l="1"/>
  <c r="AD30" i="4"/>
  <c r="AC30" i="4"/>
  <c r="AE30" i="4" l="1"/>
  <c r="X29" i="3"/>
  <c r="W29" i="3"/>
  <c r="Y23" i="3"/>
  <c r="Y22" i="3"/>
  <c r="T11" i="3"/>
  <c r="S11" i="3"/>
  <c r="Y29" i="3" l="1"/>
  <c r="U11" i="3"/>
  <c r="V11" i="3" s="1"/>
  <c r="C11" i="3" s="1"/>
  <c r="Z30" i="4"/>
  <c r="Y30" i="4"/>
  <c r="AB28" i="4"/>
  <c r="AB27" i="4"/>
  <c r="AB26" i="4"/>
  <c r="AB25" i="4"/>
  <c r="AB24" i="4"/>
  <c r="AB23" i="4"/>
  <c r="AB20" i="4"/>
  <c r="AB19" i="4"/>
  <c r="AB12" i="4"/>
  <c r="AB13" i="4"/>
  <c r="AB14" i="4"/>
  <c r="AB15" i="4"/>
  <c r="AB11" i="4"/>
  <c r="AB21" i="4" l="1"/>
  <c r="B11" i="3"/>
  <c r="AF11" i="3"/>
  <c r="AA30" i="4"/>
  <c r="AB30" i="4"/>
  <c r="D48" i="5" l="1"/>
  <c r="E48" i="5" s="1"/>
  <c r="G48" i="5" s="1"/>
  <c r="V28" i="4" l="1"/>
  <c r="V27" i="4"/>
  <c r="V26" i="4"/>
  <c r="V25" i="4"/>
  <c r="V24" i="4"/>
  <c r="V23" i="4"/>
  <c r="V21" i="4"/>
  <c r="V20" i="4"/>
  <c r="V19" i="4"/>
  <c r="V15" i="4"/>
  <c r="V14" i="4"/>
  <c r="V13" i="4"/>
  <c r="V12" i="4"/>
  <c r="V11" i="4"/>
  <c r="S28" i="4"/>
  <c r="S27" i="4"/>
  <c r="S26" i="4"/>
  <c r="S25" i="4"/>
  <c r="S24" i="4"/>
  <c r="S23" i="4"/>
  <c r="S21" i="4"/>
  <c r="S20" i="4"/>
  <c r="S19" i="4"/>
  <c r="S15" i="4"/>
  <c r="S14" i="4"/>
  <c r="S13" i="4"/>
  <c r="S12" i="4"/>
  <c r="T23" i="3"/>
  <c r="T22" i="3"/>
  <c r="T12" i="3"/>
  <c r="T10" i="3"/>
  <c r="T9" i="3"/>
  <c r="S23" i="3"/>
  <c r="S22" i="3"/>
  <c r="S12" i="3"/>
  <c r="S10" i="3"/>
  <c r="X15" i="1"/>
  <c r="T15" i="1"/>
  <c r="AG15" i="1"/>
  <c r="Y15" i="1" l="1"/>
  <c r="B15" i="1" l="1"/>
  <c r="Z15" i="1"/>
  <c r="C15" i="1" s="1"/>
  <c r="AF15" i="1"/>
  <c r="L21" i="7"/>
  <c r="S21" i="7" s="1"/>
  <c r="H18" i="7" l="1"/>
  <c r="K18" i="7" s="1"/>
  <c r="Q18" i="7" s="1"/>
  <c r="Q23" i="7" s="1"/>
  <c r="L18" i="7" l="1"/>
  <c r="S18" i="7" s="1"/>
  <c r="P18" i="7"/>
  <c r="I18" i="7"/>
  <c r="R18" i="7" s="1"/>
  <c r="K24" i="8" l="1"/>
  <c r="I24" i="8"/>
  <c r="C76" i="5"/>
  <c r="D75" i="5"/>
  <c r="E75" i="5" l="1"/>
  <c r="G75" i="5" s="1"/>
  <c r="E29" i="1" l="1"/>
  <c r="D29" i="1"/>
  <c r="D70" i="5" l="1"/>
  <c r="B76" i="5"/>
  <c r="E26" i="6"/>
  <c r="F26" i="6" s="1"/>
  <c r="H13" i="7" l="1"/>
  <c r="P13" i="7" s="1"/>
  <c r="T16" i="1" l="1"/>
  <c r="X16" i="1"/>
  <c r="AG16" i="1"/>
  <c r="Y16" i="1" l="1"/>
  <c r="A22" i="7"/>
  <c r="B16" i="1" l="1"/>
  <c r="AF16" i="1"/>
  <c r="Z16" i="1"/>
  <c r="C16" i="1" s="1"/>
  <c r="A14" i="6" l="1"/>
  <c r="D41" i="5"/>
  <c r="E41" i="5" s="1"/>
  <c r="G41" i="5" s="1"/>
  <c r="AL30" i="3" l="1"/>
  <c r="AL29" i="3"/>
  <c r="AD29" i="3"/>
  <c r="AC29" i="3"/>
  <c r="AA29" i="3"/>
  <c r="Z29" i="3"/>
  <c r="E29" i="3"/>
  <c r="D29" i="3"/>
  <c r="AK23" i="3"/>
  <c r="AK22" i="3"/>
  <c r="AI22" i="3"/>
  <c r="AI30" i="3" s="1"/>
  <c r="K11" i="8" s="1"/>
  <c r="AK12" i="3"/>
  <c r="AK10" i="3"/>
  <c r="AK9" i="3"/>
  <c r="U23" i="3" l="1"/>
  <c r="V23" i="3" s="1"/>
  <c r="C23" i="3" s="1"/>
  <c r="U12" i="3"/>
  <c r="V12" i="3" s="1"/>
  <c r="C12" i="3" s="1"/>
  <c r="AE29" i="3"/>
  <c r="S29" i="3"/>
  <c r="T29" i="3"/>
  <c r="U22" i="3"/>
  <c r="AJ22" i="3" s="1"/>
  <c r="U10" i="3"/>
  <c r="V10" i="3" s="1"/>
  <c r="C10" i="3" s="1"/>
  <c r="AJ12" i="3"/>
  <c r="U9" i="3"/>
  <c r="B9" i="3" s="1"/>
  <c r="AB29" i="3"/>
  <c r="AI29" i="3"/>
  <c r="I11" i="8" s="1"/>
  <c r="AK22" i="2"/>
  <c r="AJ22" i="2"/>
  <c r="AD22" i="2"/>
  <c r="X22" i="2"/>
  <c r="AJ11" i="2"/>
  <c r="AK11" i="2"/>
  <c r="AD11" i="2"/>
  <c r="X11" i="2"/>
  <c r="AJ28" i="2"/>
  <c r="AI28" i="2" s="1"/>
  <c r="AK28" i="2"/>
  <c r="AD28" i="2"/>
  <c r="X28" i="2"/>
  <c r="AJ13" i="2"/>
  <c r="AK13" i="2"/>
  <c r="AD13" i="2"/>
  <c r="X13" i="2"/>
  <c r="AF9" i="3" l="1"/>
  <c r="AF23" i="3"/>
  <c r="B23" i="3"/>
  <c r="B12" i="3"/>
  <c r="B10" i="3"/>
  <c r="AF22" i="3"/>
  <c r="B22" i="3"/>
  <c r="AF10" i="3"/>
  <c r="V22" i="3"/>
  <c r="C22" i="3" s="1"/>
  <c r="AJ23" i="3"/>
  <c r="AF12" i="3"/>
  <c r="AM30" i="3"/>
  <c r="K13" i="8" s="1"/>
  <c r="T22" i="2"/>
  <c r="AE22" i="2" s="1"/>
  <c r="V9" i="3"/>
  <c r="C9" i="3" s="1"/>
  <c r="U29" i="3"/>
  <c r="F6" i="7" s="1"/>
  <c r="T11" i="2"/>
  <c r="U11" i="2" s="1"/>
  <c r="C11" i="2" s="1"/>
  <c r="T13" i="2"/>
  <c r="B13" i="2" s="1"/>
  <c r="T28" i="2"/>
  <c r="U28" i="2" s="1"/>
  <c r="B29" i="3" l="1"/>
  <c r="G6" i="7" s="1"/>
  <c r="C29" i="3"/>
  <c r="H6" i="7" s="1"/>
  <c r="P6" i="7" s="1"/>
  <c r="B11" i="2"/>
  <c r="B22" i="2"/>
  <c r="U13" i="2"/>
  <c r="C13" i="2" s="1"/>
  <c r="V29" i="3"/>
  <c r="AG29" i="3" s="1"/>
  <c r="AJ29" i="3"/>
  <c r="I12" i="8" s="1"/>
  <c r="AM29" i="3"/>
  <c r="I13" i="8" s="1"/>
  <c r="AI22" i="2"/>
  <c r="AJ30" i="3"/>
  <c r="K12" i="8" s="1"/>
  <c r="U22" i="2"/>
  <c r="C22" i="2" s="1"/>
  <c r="AI13" i="2"/>
  <c r="AF29" i="3"/>
  <c r="AI11" i="2"/>
  <c r="AE13" i="2"/>
  <c r="AE11" i="2"/>
  <c r="AE28" i="2"/>
  <c r="L7" i="7"/>
  <c r="S7" i="7" s="1"/>
  <c r="L6" i="7"/>
  <c r="S6" i="7" s="1"/>
  <c r="L5" i="7"/>
  <c r="S5" i="7" s="1"/>
  <c r="L4" i="7"/>
  <c r="S4" i="7" s="1"/>
  <c r="I6" i="7" l="1"/>
  <c r="R6" i="7" s="1"/>
  <c r="AJ27" i="2"/>
  <c r="AJ26" i="2"/>
  <c r="AJ25" i="2"/>
  <c r="AJ24" i="2"/>
  <c r="AJ23" i="2"/>
  <c r="AJ21" i="2"/>
  <c r="AJ20" i="2"/>
  <c r="AJ19" i="2"/>
  <c r="AJ15" i="2"/>
  <c r="AJ14" i="2"/>
  <c r="AJ12" i="2"/>
  <c r="AJ10" i="2"/>
  <c r="AR30" i="4" l="1"/>
  <c r="AS31" i="4"/>
  <c r="AR31" i="4"/>
  <c r="B20" i="6" l="1"/>
  <c r="AT28" i="4"/>
  <c r="AT27" i="4"/>
  <c r="AT26" i="4"/>
  <c r="AT25" i="4"/>
  <c r="AT24" i="4"/>
  <c r="AT23" i="4"/>
  <c r="AT21" i="4"/>
  <c r="AT20" i="4"/>
  <c r="AT19" i="4"/>
  <c r="AT15" i="4"/>
  <c r="AT14" i="4"/>
  <c r="AT13" i="4"/>
  <c r="AT11" i="4"/>
  <c r="AT12" i="4"/>
  <c r="AQ21" i="4"/>
  <c r="AQ28" i="4"/>
  <c r="AP28" i="4" s="1"/>
  <c r="AQ27" i="4"/>
  <c r="AP27" i="4" s="1"/>
  <c r="AQ26" i="4"/>
  <c r="AQ25" i="4"/>
  <c r="AQ24" i="4"/>
  <c r="AQ23" i="4"/>
  <c r="AP23" i="4" s="1"/>
  <c r="AQ20" i="4"/>
  <c r="AQ19" i="4"/>
  <c r="AP19" i="4" s="1"/>
  <c r="AQ15" i="4"/>
  <c r="AP15" i="4" s="1"/>
  <c r="AQ14" i="4"/>
  <c r="AP14" i="4" s="1"/>
  <c r="AQ13" i="4"/>
  <c r="AQ12" i="4"/>
  <c r="AQ11" i="4"/>
  <c r="AI15" i="2"/>
  <c r="AJ7" i="2"/>
  <c r="AG27" i="1"/>
  <c r="AF27" i="1" s="1"/>
  <c r="AG24" i="1"/>
  <c r="AG23" i="1"/>
  <c r="AG14" i="1"/>
  <c r="AG13" i="1"/>
  <c r="AG12" i="1"/>
  <c r="AF12" i="1" s="1"/>
  <c r="E20" i="6" l="1"/>
  <c r="C14" i="6" s="1"/>
  <c r="H22" i="7" s="1"/>
  <c r="K25" i="8"/>
  <c r="AQ31" i="4"/>
  <c r="I25" i="8" l="1"/>
  <c r="P22" i="7"/>
  <c r="H38" i="5"/>
  <c r="H39" i="5"/>
  <c r="H40" i="5"/>
  <c r="H42" i="5"/>
  <c r="D42" i="5"/>
  <c r="E42" i="5" s="1"/>
  <c r="G42" i="5" s="1"/>
  <c r="D40" i="5"/>
  <c r="E40" i="5" s="1"/>
  <c r="G40" i="5" s="1"/>
  <c r="D39" i="5"/>
  <c r="E39" i="5" s="1"/>
  <c r="G39" i="5" s="1"/>
  <c r="D38" i="5"/>
  <c r="E38" i="5" s="1"/>
  <c r="G38" i="5" s="1"/>
  <c r="D74" i="5" l="1"/>
  <c r="E74" i="5" s="1"/>
  <c r="G74" i="5" s="1"/>
  <c r="D73" i="5"/>
  <c r="E73" i="5" s="1"/>
  <c r="G73" i="5" s="1"/>
  <c r="AK10" i="2" l="1"/>
  <c r="AK12" i="2"/>
  <c r="AK14" i="2"/>
  <c r="AK15" i="2"/>
  <c r="AK19" i="2"/>
  <c r="AK20" i="2"/>
  <c r="AK21" i="2"/>
  <c r="AK23" i="2"/>
  <c r="AK24" i="2"/>
  <c r="AK25" i="2"/>
  <c r="AK26" i="2"/>
  <c r="AK27" i="2"/>
  <c r="AK7" i="2"/>
  <c r="AD15" i="2"/>
  <c r="X15" i="2"/>
  <c r="AK30" i="2" l="1"/>
  <c r="T15" i="2"/>
  <c r="U15" i="2" s="1"/>
  <c r="C15" i="2" s="1"/>
  <c r="B15" i="2" l="1"/>
  <c r="L11" i="7"/>
  <c r="S11" i="7" s="1"/>
  <c r="K23" i="7" l="1"/>
  <c r="AI26" i="2"/>
  <c r="H17" i="7" l="1"/>
  <c r="I17" i="7" l="1"/>
  <c r="R17" i="7" s="1"/>
  <c r="P17" i="7"/>
  <c r="J36" i="9"/>
  <c r="H36" i="9"/>
  <c r="G36" i="9"/>
  <c r="F36" i="9"/>
  <c r="E36" i="9"/>
  <c r="D36" i="9"/>
  <c r="C36" i="9"/>
  <c r="B36" i="9"/>
  <c r="E19" i="6"/>
  <c r="C13" i="6" s="1"/>
  <c r="H21" i="7" s="1"/>
  <c r="AK28" i="4"/>
  <c r="AK27" i="4"/>
  <c r="AK26" i="4"/>
  <c r="AK25" i="4"/>
  <c r="AK24" i="4"/>
  <c r="AK23" i="4"/>
  <c r="AK22" i="4"/>
  <c r="AK21" i="4"/>
  <c r="AK20" i="4"/>
  <c r="AK19" i="4"/>
  <c r="AK15" i="4"/>
  <c r="AK14" i="4"/>
  <c r="AK13" i="4"/>
  <c r="AK12" i="4"/>
  <c r="AK11" i="4"/>
  <c r="K23" i="8" l="1"/>
  <c r="I23" i="8"/>
  <c r="I21" i="7"/>
  <c r="R21" i="7" s="1"/>
  <c r="P21" i="7"/>
  <c r="K18" i="8"/>
  <c r="I18" i="8"/>
  <c r="AK30" i="4"/>
  <c r="L17" i="7"/>
  <c r="S17" i="7" s="1"/>
  <c r="L13" i="7"/>
  <c r="S13" i="7" s="1"/>
  <c r="L12" i="7"/>
  <c r="S12" i="7" s="1"/>
  <c r="L10" i="7"/>
  <c r="S10" i="7" s="1"/>
  <c r="Q15" i="4"/>
  <c r="W15" i="4" l="1"/>
  <c r="AQ29" i="4"/>
  <c r="AP29" i="4" s="1"/>
  <c r="AT22" i="4"/>
  <c r="AT18" i="4"/>
  <c r="AT17" i="4"/>
  <c r="J29" i="1"/>
  <c r="Q29" i="1"/>
  <c r="AL15" i="4" l="1"/>
  <c r="B15" i="4"/>
  <c r="X15" i="4"/>
  <c r="C15" i="4" s="1"/>
  <c r="D71" i="5" l="1"/>
  <c r="E71" i="5" s="1"/>
  <c r="G71" i="5" s="1"/>
  <c r="D72" i="5"/>
  <c r="E72" i="5" s="1"/>
  <c r="G72" i="5" s="1"/>
  <c r="AD20" i="2" l="1"/>
  <c r="AD21" i="2"/>
  <c r="AD23" i="2"/>
  <c r="AD24" i="2"/>
  <c r="AD25" i="2"/>
  <c r="AD27" i="2"/>
  <c r="AD19" i="2"/>
  <c r="AD12" i="2"/>
  <c r="AD14" i="2"/>
  <c r="AD10" i="2"/>
  <c r="AD7" i="2"/>
  <c r="X20" i="2"/>
  <c r="X21" i="2"/>
  <c r="X23" i="2"/>
  <c r="X24" i="2"/>
  <c r="X25" i="2"/>
  <c r="X27" i="2"/>
  <c r="X19" i="2"/>
  <c r="X12" i="2"/>
  <c r="X14" i="2"/>
  <c r="X10" i="2"/>
  <c r="X7" i="2"/>
  <c r="C21" i="4"/>
  <c r="D27" i="5"/>
  <c r="E27" i="5" s="1"/>
  <c r="G27" i="5" s="1"/>
  <c r="D31" i="5"/>
  <c r="E31" i="5" s="1"/>
  <c r="G31" i="5" s="1"/>
  <c r="M29" i="1"/>
  <c r="H10" i="7"/>
  <c r="E23" i="6"/>
  <c r="E24" i="6"/>
  <c r="F24" i="6" s="1"/>
  <c r="E25" i="6"/>
  <c r="E30" i="6"/>
  <c r="F30" i="6" s="1"/>
  <c r="E31" i="6"/>
  <c r="F31" i="6" s="1"/>
  <c r="E32" i="6"/>
  <c r="F32" i="6" s="1"/>
  <c r="D6" i="5"/>
  <c r="H6" i="5"/>
  <c r="D7" i="5"/>
  <c r="E7" i="5" s="1"/>
  <c r="G7" i="5" s="1"/>
  <c r="H7" i="5"/>
  <c r="D8" i="5"/>
  <c r="E8" i="5" s="1"/>
  <c r="G8" i="5" s="1"/>
  <c r="H8" i="5"/>
  <c r="D9" i="5"/>
  <c r="E9" i="5" s="1"/>
  <c r="G9" i="5" s="1"/>
  <c r="H9" i="5"/>
  <c r="D10" i="5"/>
  <c r="E10" i="5" s="1"/>
  <c r="G10" i="5" s="1"/>
  <c r="H10" i="5"/>
  <c r="D11" i="5"/>
  <c r="E11" i="5" s="1"/>
  <c r="G11" i="5" s="1"/>
  <c r="H11" i="5"/>
  <c r="D13" i="5"/>
  <c r="E13" i="5" s="1"/>
  <c r="G13" i="5" s="1"/>
  <c r="H13" i="5"/>
  <c r="D14" i="5"/>
  <c r="E14" i="5" s="1"/>
  <c r="G14" i="5" s="1"/>
  <c r="H14" i="5"/>
  <c r="D15" i="5"/>
  <c r="E15" i="5" s="1"/>
  <c r="G15" i="5" s="1"/>
  <c r="H15" i="5"/>
  <c r="D16" i="5"/>
  <c r="E16" i="5" s="1"/>
  <c r="G16" i="5" s="1"/>
  <c r="H16" i="5"/>
  <c r="D17" i="5"/>
  <c r="E17" i="5" s="1"/>
  <c r="G17" i="5" s="1"/>
  <c r="H17" i="5"/>
  <c r="D18" i="5"/>
  <c r="E18" i="5" s="1"/>
  <c r="G18" i="5" s="1"/>
  <c r="H18" i="5"/>
  <c r="D19" i="5"/>
  <c r="E19" i="5" s="1"/>
  <c r="G19" i="5" s="1"/>
  <c r="H19" i="5"/>
  <c r="D20" i="5"/>
  <c r="E20" i="5" s="1"/>
  <c r="G20" i="5" s="1"/>
  <c r="H20" i="5"/>
  <c r="D21" i="5"/>
  <c r="E21" i="5" s="1"/>
  <c r="G21" i="5" s="1"/>
  <c r="H21" i="5"/>
  <c r="D22" i="5"/>
  <c r="E22" i="5" s="1"/>
  <c r="G22" i="5" s="1"/>
  <c r="H22" i="5"/>
  <c r="D23" i="5"/>
  <c r="E23" i="5" s="1"/>
  <c r="G23" i="5" s="1"/>
  <c r="H23" i="5"/>
  <c r="D24" i="5"/>
  <c r="E24" i="5" s="1"/>
  <c r="G24" i="5" s="1"/>
  <c r="H24" i="5"/>
  <c r="D25" i="5"/>
  <c r="E25" i="5" s="1"/>
  <c r="G25" i="5" s="1"/>
  <c r="H25" i="5"/>
  <c r="D26" i="5"/>
  <c r="E26" i="5" s="1"/>
  <c r="G26" i="5" s="1"/>
  <c r="H26" i="5"/>
  <c r="D28" i="5"/>
  <c r="E28" i="5" s="1"/>
  <c r="G28" i="5" s="1"/>
  <c r="H28" i="5"/>
  <c r="D29" i="5"/>
  <c r="E29" i="5" s="1"/>
  <c r="G29" i="5" s="1"/>
  <c r="H29" i="5"/>
  <c r="D30" i="5"/>
  <c r="E30" i="5" s="1"/>
  <c r="G30" i="5" s="1"/>
  <c r="H30" i="5"/>
  <c r="D32" i="5"/>
  <c r="E32" i="5" s="1"/>
  <c r="G32" i="5" s="1"/>
  <c r="H32" i="5"/>
  <c r="D33" i="5"/>
  <c r="E33" i="5" s="1"/>
  <c r="G33" i="5" s="1"/>
  <c r="H33" i="5"/>
  <c r="D34" i="5"/>
  <c r="E34" i="5" s="1"/>
  <c r="G34" i="5" s="1"/>
  <c r="H34" i="5"/>
  <c r="D35" i="5"/>
  <c r="E35" i="5" s="1"/>
  <c r="G35" i="5" s="1"/>
  <c r="H35" i="5"/>
  <c r="D36" i="5"/>
  <c r="E36" i="5" s="1"/>
  <c r="G36" i="5" s="1"/>
  <c r="H36" i="5"/>
  <c r="D37" i="5"/>
  <c r="E37" i="5" s="1"/>
  <c r="G37" i="5" s="1"/>
  <c r="H37" i="5"/>
  <c r="H43" i="5"/>
  <c r="D44" i="5"/>
  <c r="E44" i="5" s="1"/>
  <c r="G44" i="5" s="1"/>
  <c r="H44" i="5"/>
  <c r="D45" i="5"/>
  <c r="E45" i="5" s="1"/>
  <c r="G45" i="5" s="1"/>
  <c r="H45" i="5"/>
  <c r="D46" i="5"/>
  <c r="E46" i="5" s="1"/>
  <c r="G46" i="5" s="1"/>
  <c r="H46" i="5"/>
  <c r="D47" i="5"/>
  <c r="E47" i="5" s="1"/>
  <c r="G47" i="5" s="1"/>
  <c r="H47" i="5"/>
  <c r="D49" i="5"/>
  <c r="E49" i="5" s="1"/>
  <c r="G49" i="5" s="1"/>
  <c r="H49" i="5"/>
  <c r="D50" i="5"/>
  <c r="E50" i="5" s="1"/>
  <c r="G50" i="5" s="1"/>
  <c r="H50" i="5"/>
  <c r="D51" i="5"/>
  <c r="E51" i="5" s="1"/>
  <c r="G51" i="5" s="1"/>
  <c r="D52" i="5"/>
  <c r="E52" i="5" s="1"/>
  <c r="G52" i="5" s="1"/>
  <c r="H52" i="5"/>
  <c r="D53" i="5"/>
  <c r="E53" i="5" s="1"/>
  <c r="G53" i="5" s="1"/>
  <c r="H53" i="5"/>
  <c r="D54" i="5"/>
  <c r="E54" i="5" s="1"/>
  <c r="G54" i="5" s="1"/>
  <c r="H54" i="5"/>
  <c r="D56" i="5"/>
  <c r="E56" i="5" s="1"/>
  <c r="G56" i="5" s="1"/>
  <c r="H56" i="5"/>
  <c r="D57" i="5"/>
  <c r="E57" i="5" s="1"/>
  <c r="G57" i="5" s="1"/>
  <c r="H57" i="5"/>
  <c r="D58" i="5"/>
  <c r="E58" i="5" s="1"/>
  <c r="G58" i="5" s="1"/>
  <c r="H58" i="5"/>
  <c r="D59" i="5"/>
  <c r="E59" i="5" s="1"/>
  <c r="G59" i="5" s="1"/>
  <c r="H59" i="5"/>
  <c r="E70" i="5"/>
  <c r="G70" i="5" s="1"/>
  <c r="H70" i="5"/>
  <c r="D60" i="5"/>
  <c r="E60" i="5" s="1"/>
  <c r="G60" i="5" s="1"/>
  <c r="H60" i="5"/>
  <c r="D61" i="5"/>
  <c r="E61" i="5" s="1"/>
  <c r="G61" i="5" s="1"/>
  <c r="H61" i="5"/>
  <c r="D62" i="5"/>
  <c r="E62" i="5" s="1"/>
  <c r="G62" i="5" s="1"/>
  <c r="H62" i="5"/>
  <c r="D63" i="5"/>
  <c r="E63" i="5" s="1"/>
  <c r="G63" i="5" s="1"/>
  <c r="H63" i="5"/>
  <c r="D64" i="5"/>
  <c r="E64" i="5" s="1"/>
  <c r="G64" i="5" s="1"/>
  <c r="H64" i="5"/>
  <c r="D65" i="5"/>
  <c r="E65" i="5" s="1"/>
  <c r="G65" i="5" s="1"/>
  <c r="H65" i="5"/>
  <c r="D66" i="5"/>
  <c r="E66" i="5" s="1"/>
  <c r="G66" i="5" s="1"/>
  <c r="H66" i="5"/>
  <c r="D67" i="5"/>
  <c r="E67" i="5" s="1"/>
  <c r="G67" i="5" s="1"/>
  <c r="H67" i="5"/>
  <c r="D68" i="5"/>
  <c r="E68" i="5" s="1"/>
  <c r="G68" i="5" s="1"/>
  <c r="H68" i="5"/>
  <c r="D69" i="5"/>
  <c r="E69" i="5" s="1"/>
  <c r="G69" i="5" s="1"/>
  <c r="H69" i="5"/>
  <c r="Q11" i="4"/>
  <c r="Q12" i="4"/>
  <c r="Q13" i="4"/>
  <c r="Q14" i="4"/>
  <c r="AO18" i="4"/>
  <c r="AO19" i="4"/>
  <c r="Q19" i="4"/>
  <c r="Q21" i="4"/>
  <c r="Q24" i="4"/>
  <c r="Q25" i="4"/>
  <c r="Q28" i="4"/>
  <c r="D30" i="4"/>
  <c r="E30" i="4"/>
  <c r="AF30" i="4"/>
  <c r="AG30" i="4"/>
  <c r="AE8" i="2"/>
  <c r="AE9" i="2"/>
  <c r="AE15" i="2"/>
  <c r="AE17" i="2"/>
  <c r="AE18" i="2"/>
  <c r="AI23" i="2"/>
  <c r="O3" i="1"/>
  <c r="O12" i="1"/>
  <c r="T12" i="1"/>
  <c r="O13" i="1"/>
  <c r="T13" i="1"/>
  <c r="X13" i="1"/>
  <c r="O14" i="1"/>
  <c r="T14" i="1"/>
  <c r="X14" i="1"/>
  <c r="O22" i="1"/>
  <c r="T22" i="1"/>
  <c r="X22" i="1"/>
  <c r="O23" i="1"/>
  <c r="T23" i="1"/>
  <c r="X23" i="1"/>
  <c r="O24" i="1"/>
  <c r="T24" i="1"/>
  <c r="X24" i="1"/>
  <c r="T25" i="1"/>
  <c r="X25" i="1"/>
  <c r="O27" i="1"/>
  <c r="X27" i="1" s="1"/>
  <c r="Y27" i="1" s="1"/>
  <c r="F29" i="1"/>
  <c r="H19" i="7"/>
  <c r="I10" i="7" l="1"/>
  <c r="R10" i="7" s="1"/>
  <c r="P10" i="7"/>
  <c r="I19" i="7"/>
  <c r="P19" i="7"/>
  <c r="K20" i="8"/>
  <c r="I20" i="8"/>
  <c r="AD30" i="2"/>
  <c r="X30" i="2"/>
  <c r="Z17" i="1"/>
  <c r="Z18" i="1"/>
  <c r="Z27" i="1"/>
  <c r="C27" i="1" s="1"/>
  <c r="B27" i="1"/>
  <c r="T29" i="1"/>
  <c r="D76" i="5"/>
  <c r="F76" i="5" s="1"/>
  <c r="I17" i="8" s="1"/>
  <c r="E27" i="6"/>
  <c r="I13" i="7"/>
  <c r="R13" i="7" s="1"/>
  <c r="AE29" i="1"/>
  <c r="AO30" i="4"/>
  <c r="I14" i="8" s="1"/>
  <c r="AO31" i="4"/>
  <c r="K14" i="8" s="1"/>
  <c r="F23" i="6"/>
  <c r="F27" i="6" s="1"/>
  <c r="I11" i="7" s="1"/>
  <c r="R11" i="7" s="1"/>
  <c r="C7" i="6"/>
  <c r="E33" i="6"/>
  <c r="W24" i="4"/>
  <c r="Y25" i="1"/>
  <c r="B25" i="1" s="1"/>
  <c r="Y22" i="1"/>
  <c r="AF22" i="1" s="1"/>
  <c r="T21" i="2"/>
  <c r="U21" i="2" s="1"/>
  <c r="C21" i="2" s="1"/>
  <c r="Y23" i="1"/>
  <c r="T27" i="2"/>
  <c r="AI27" i="2" s="1"/>
  <c r="T23" i="2"/>
  <c r="AE23" i="2" s="1"/>
  <c r="T14" i="2"/>
  <c r="AI14" i="2" s="1"/>
  <c r="T7" i="2"/>
  <c r="AE7" i="2" s="1"/>
  <c r="W23" i="4"/>
  <c r="W26" i="4"/>
  <c r="AP26" i="4" s="1"/>
  <c r="W21" i="4"/>
  <c r="T12" i="2"/>
  <c r="AI12" i="2" s="1"/>
  <c r="Y14" i="1"/>
  <c r="B14" i="1" s="1"/>
  <c r="W14" i="4"/>
  <c r="T25" i="2"/>
  <c r="AI25" i="2" s="1"/>
  <c r="Y13" i="1"/>
  <c r="W27" i="4"/>
  <c r="W20" i="4"/>
  <c r="T19" i="2"/>
  <c r="AI19" i="2" s="1"/>
  <c r="T10" i="2"/>
  <c r="AI10" i="2" s="1"/>
  <c r="W13" i="4"/>
  <c r="AH30" i="4"/>
  <c r="W19" i="4"/>
  <c r="W25" i="4"/>
  <c r="W11" i="4"/>
  <c r="T24" i="2"/>
  <c r="AE24" i="2" s="1"/>
  <c r="AH31" i="2"/>
  <c r="K8" i="8" s="1"/>
  <c r="T20" i="2"/>
  <c r="AI20" i="2" s="1"/>
  <c r="Y24" i="1"/>
  <c r="B24" i="1" s="1"/>
  <c r="X29" i="1"/>
  <c r="Y12" i="1"/>
  <c r="Z12" i="1" s="1"/>
  <c r="C12" i="1" s="1"/>
  <c r="W12" i="4"/>
  <c r="V30" i="4"/>
  <c r="W28" i="4"/>
  <c r="S30" i="4"/>
  <c r="AC29" i="1"/>
  <c r="AB29" i="1"/>
  <c r="E6" i="5"/>
  <c r="H76" i="5"/>
  <c r="K26" i="8" l="1"/>
  <c r="L19" i="7"/>
  <c r="R19" i="7"/>
  <c r="B23" i="1"/>
  <c r="AF23" i="1"/>
  <c r="AL28" i="4"/>
  <c r="B28" i="4"/>
  <c r="I26" i="8"/>
  <c r="AL14" i="4"/>
  <c r="B14" i="4"/>
  <c r="AL13" i="4"/>
  <c r="B13" i="4"/>
  <c r="AL19" i="4"/>
  <c r="B19" i="4"/>
  <c r="AL21" i="4"/>
  <c r="B21" i="4"/>
  <c r="AL20" i="4"/>
  <c r="B20" i="4"/>
  <c r="AL26" i="4"/>
  <c r="B26" i="4"/>
  <c r="AP11" i="4"/>
  <c r="B11" i="4"/>
  <c r="AL11" i="4"/>
  <c r="AL27" i="4"/>
  <c r="B27" i="4"/>
  <c r="AL23" i="4"/>
  <c r="B23" i="4"/>
  <c r="AL12" i="4"/>
  <c r="B12" i="4"/>
  <c r="AL25" i="4"/>
  <c r="B25" i="4"/>
  <c r="AP24" i="4"/>
  <c r="B24" i="4"/>
  <c r="K19" i="8"/>
  <c r="I19" i="8"/>
  <c r="K21" i="8"/>
  <c r="I21" i="8"/>
  <c r="B27" i="2"/>
  <c r="B10" i="2"/>
  <c r="B23" i="2"/>
  <c r="B12" i="2"/>
  <c r="B20" i="2"/>
  <c r="B14" i="2"/>
  <c r="B7" i="2"/>
  <c r="B21" i="2"/>
  <c r="B24" i="2"/>
  <c r="B19" i="2"/>
  <c r="B25" i="2"/>
  <c r="AI7" i="2"/>
  <c r="T30" i="2"/>
  <c r="AI30" i="1"/>
  <c r="C17" i="1"/>
  <c r="C18" i="1"/>
  <c r="I5" i="8" s="1"/>
  <c r="B12" i="1"/>
  <c r="B22" i="1"/>
  <c r="AF13" i="1"/>
  <c r="B13" i="1"/>
  <c r="I4" i="8"/>
  <c r="E76" i="5"/>
  <c r="H8" i="7" s="1"/>
  <c r="P8" i="7" s="1"/>
  <c r="G6" i="5"/>
  <c r="Z14" i="1"/>
  <c r="C14" i="1" s="1"/>
  <c r="AF14" i="1"/>
  <c r="AM31" i="2"/>
  <c r="Z24" i="1"/>
  <c r="C24" i="1" s="1"/>
  <c r="AF24" i="1"/>
  <c r="AL24" i="4"/>
  <c r="AT31" i="4"/>
  <c r="K16" i="8" s="1"/>
  <c r="Z22" i="1"/>
  <c r="C22" i="1" s="1"/>
  <c r="AP25" i="4"/>
  <c r="C5" i="6"/>
  <c r="H11" i="7" s="1"/>
  <c r="P11" i="7" s="1"/>
  <c r="AP12" i="4"/>
  <c r="AP13" i="4"/>
  <c r="AP20" i="4"/>
  <c r="AP21" i="4"/>
  <c r="AI24" i="2"/>
  <c r="AI21" i="2"/>
  <c r="AK31" i="2"/>
  <c r="F33" i="6"/>
  <c r="C6" i="6"/>
  <c r="X26" i="4"/>
  <c r="C26" i="4" s="1"/>
  <c r="X27" i="4"/>
  <c r="C27" i="4" s="1"/>
  <c r="X23" i="4"/>
  <c r="C23" i="4" s="1"/>
  <c r="Z25" i="1"/>
  <c r="C25" i="1" s="1"/>
  <c r="X24" i="4"/>
  <c r="C24" i="4" s="1"/>
  <c r="U12" i="2"/>
  <c r="C12" i="2" s="1"/>
  <c r="U25" i="2"/>
  <c r="C25" i="2" s="1"/>
  <c r="Z23" i="1"/>
  <c r="C23" i="1" s="1"/>
  <c r="X19" i="4"/>
  <c r="C19" i="4" s="1"/>
  <c r="U14" i="2"/>
  <c r="C14" i="2" s="1"/>
  <c r="AE14" i="2"/>
  <c r="AE27" i="2"/>
  <c r="U27" i="2"/>
  <c r="C27" i="2" s="1"/>
  <c r="AE21" i="2"/>
  <c r="X20" i="4"/>
  <c r="C20" i="4" s="1"/>
  <c r="U20" i="2"/>
  <c r="C20" i="2" s="1"/>
  <c r="U10" i="2"/>
  <c r="C10" i="2" s="1"/>
  <c r="AE19" i="2"/>
  <c r="AE12" i="2"/>
  <c r="U19" i="2"/>
  <c r="C19" i="2" s="1"/>
  <c r="U23" i="2"/>
  <c r="C23" i="2" s="1"/>
  <c r="AE25" i="2"/>
  <c r="AE20" i="2"/>
  <c r="X11" i="4"/>
  <c r="X14" i="4"/>
  <c r="C14" i="4" s="1"/>
  <c r="Z13" i="1"/>
  <c r="C13" i="1" s="1"/>
  <c r="Y29" i="1"/>
  <c r="F4" i="7" s="1"/>
  <c r="W18" i="4"/>
  <c r="X25" i="4"/>
  <c r="C25" i="4" s="1"/>
  <c r="W9" i="4"/>
  <c r="AF31" i="1"/>
  <c r="X13" i="4"/>
  <c r="C13" i="4" s="1"/>
  <c r="AE10" i="2"/>
  <c r="U24" i="2"/>
  <c r="C24" i="2" s="1"/>
  <c r="W30" i="4"/>
  <c r="F7" i="7" s="1"/>
  <c r="X28" i="4"/>
  <c r="C28" i="4" s="1"/>
  <c r="X12" i="4"/>
  <c r="C12" i="4" s="1"/>
  <c r="U7" i="2"/>
  <c r="C7" i="2" s="1"/>
  <c r="F5" i="7"/>
  <c r="F8" i="7"/>
  <c r="N8" i="7" s="1"/>
  <c r="S19" i="7" l="1"/>
  <c r="L23" i="7"/>
  <c r="S23" i="7" s="1"/>
  <c r="B30" i="4"/>
  <c r="G7" i="7" s="1"/>
  <c r="C11" i="4"/>
  <c r="C30" i="4" s="1"/>
  <c r="H7" i="7" s="1"/>
  <c r="P7" i="7" s="1"/>
  <c r="X30" i="4"/>
  <c r="AM30" i="4" s="1"/>
  <c r="B30" i="2"/>
  <c r="G5" i="7" s="1"/>
  <c r="N5" i="7" s="1"/>
  <c r="C30" i="2"/>
  <c r="H5" i="7" s="1"/>
  <c r="P5" i="7" s="1"/>
  <c r="AI30" i="2"/>
  <c r="I9" i="8" s="1"/>
  <c r="AE30" i="2"/>
  <c r="U30" i="2"/>
  <c r="AF30" i="2" s="1"/>
  <c r="AF30" i="1"/>
  <c r="K6" i="8" s="1"/>
  <c r="C29" i="1"/>
  <c r="H4" i="7" s="1"/>
  <c r="P4" i="7" s="1"/>
  <c r="B29" i="1"/>
  <c r="G4" i="7" s="1"/>
  <c r="N4" i="7" s="1"/>
  <c r="AL30" i="4"/>
  <c r="AT30" i="4"/>
  <c r="I16" i="8" s="1"/>
  <c r="AF29" i="1"/>
  <c r="I6" i="8" s="1"/>
  <c r="AP30" i="4"/>
  <c r="I15" i="8" s="1"/>
  <c r="AP31" i="4"/>
  <c r="K15" i="8" s="1"/>
  <c r="K7" i="8"/>
  <c r="AI29" i="1"/>
  <c r="I7" i="8" s="1"/>
  <c r="K10" i="8"/>
  <c r="AM30" i="2"/>
  <c r="I10" i="8" s="1"/>
  <c r="H12" i="7"/>
  <c r="C15" i="6"/>
  <c r="AI31" i="2"/>
  <c r="K9" i="8" s="1"/>
  <c r="Z29" i="1"/>
  <c r="N6" i="7"/>
  <c r="K17" i="8"/>
  <c r="G76" i="5"/>
  <c r="I8" i="7" s="1"/>
  <c r="R8" i="7" s="1"/>
  <c r="I5" i="7" l="1"/>
  <c r="R5" i="7" s="1"/>
  <c r="N7" i="7"/>
  <c r="I12" i="7"/>
  <c r="P12" i="7"/>
  <c r="P23" i="7" s="1"/>
  <c r="I4" i="7"/>
  <c r="R4" i="7" l="1"/>
  <c r="J4" i="7"/>
  <c r="K22" i="8"/>
  <c r="K29" i="8" s="1"/>
  <c r="R12" i="7"/>
  <c r="I22" i="8"/>
  <c r="H23" i="7"/>
  <c r="I7" i="7"/>
  <c r="I23" i="7" l="1"/>
  <c r="R23" i="7" s="1"/>
  <c r="R7" i="7"/>
</calcChain>
</file>

<file path=xl/comments1.xml><?xml version="1.0" encoding="utf-8"?>
<comments xmlns="http://schemas.openxmlformats.org/spreadsheetml/2006/main">
  <authors>
    <author>Maria Haldeaki</author>
    <author>Heidi Raae Vinge</author>
    <author>Frode Lyshaugen</author>
  </authors>
  <commentList>
    <comment ref="E13" authorId="0" guid="{2109C5D1-65A9-4925-9E36-2A8844312BEF}" shapeId="0">
      <text>
        <r>
          <rPr>
            <b/>
            <sz val="9"/>
            <color indexed="81"/>
            <rFont val="Tahoma"/>
            <family val="2"/>
          </rPr>
          <t>Maria Haldeaki:</t>
        </r>
        <r>
          <rPr>
            <i/>
            <sz val="9"/>
            <color indexed="81"/>
            <rFont val="Tahoma"/>
            <family val="2"/>
          </rPr>
          <t xml:space="preserve">
skrivekurset på 6 timer pluss oppgaveretting på 2 timer inngår i kjøp og avtrett
</t>
        </r>
      </text>
    </comment>
    <comment ref="H13" authorId="1" guid="{A10E311F-B0BF-406A-A4FD-2766A9996DEF}" shapeId="0">
      <text>
        <r>
          <rPr>
            <b/>
            <sz val="9"/>
            <color indexed="81"/>
            <rFont val="Tahoma"/>
            <charset val="1"/>
          </rPr>
          <t>Heidi Raae Vinge:</t>
        </r>
        <r>
          <rPr>
            <sz val="9"/>
            <color indexed="81"/>
            <rFont val="Tahoma"/>
            <charset val="1"/>
          </rPr>
          <t xml:space="preserve">
endret fra 34 til 39
</t>
        </r>
      </text>
    </comment>
    <comment ref="I13" authorId="1" guid="{8B225D5A-F9FD-4DA9-8FDF-2B58724C5596}" shapeId="0">
      <text>
        <r>
          <rPr>
            <b/>
            <sz val="9"/>
            <color indexed="81"/>
            <rFont val="Tahoma"/>
            <charset val="1"/>
          </rPr>
          <t>Heidi Raae Vinge:</t>
        </r>
        <r>
          <rPr>
            <sz val="9"/>
            <color indexed="81"/>
            <rFont val="Tahoma"/>
            <charset val="1"/>
          </rPr>
          <t xml:space="preserve">
fra 6 til 7 kursgrupper
</t>
        </r>
      </text>
    </comment>
    <comment ref="J13" authorId="1" guid="{FA1D20C8-B2D3-4E88-B0B7-EAB3EFF0E926}" shapeId="0">
      <text>
        <r>
          <rPr>
            <b/>
            <sz val="9"/>
            <color indexed="81"/>
            <rFont val="Tahoma"/>
            <charset val="1"/>
          </rPr>
          <t>Heidi Raae Vinge:</t>
        </r>
        <r>
          <rPr>
            <sz val="9"/>
            <color indexed="81"/>
            <rFont val="Tahoma"/>
            <charset val="1"/>
          </rPr>
          <t xml:space="preserve">
fra 2 til 4 eksterne
</t>
        </r>
      </text>
    </comment>
    <comment ref="H14" authorId="1" guid="{7F1F7E5D-042F-46AE-AC9F-3AE9BD5EC89E}" shapeId="0">
      <text>
        <r>
          <rPr>
            <b/>
            <sz val="9"/>
            <color indexed="81"/>
            <rFont val="Tahoma"/>
            <charset val="1"/>
          </rPr>
          <t>Heidi Raae Vinge:</t>
        </r>
        <r>
          <rPr>
            <sz val="9"/>
            <color indexed="81"/>
            <rFont val="Tahoma"/>
            <charset val="1"/>
          </rPr>
          <t xml:space="preserve">
endret fra 34 til 39
</t>
        </r>
      </text>
    </comment>
    <comment ref="I14" authorId="1" guid="{6541CFC7-1BB4-4AD9-BA98-9A30E22B565D}" shapeId="0">
      <text>
        <r>
          <rPr>
            <b/>
            <sz val="9"/>
            <color indexed="81"/>
            <rFont val="Tahoma"/>
            <charset val="1"/>
          </rPr>
          <t>Heidi Raae Vinge:</t>
        </r>
        <r>
          <rPr>
            <sz val="9"/>
            <color indexed="81"/>
            <rFont val="Tahoma"/>
            <charset val="1"/>
          </rPr>
          <t xml:space="preserve">
fra 6 til 7 kursgrupper
</t>
        </r>
      </text>
    </comment>
    <comment ref="J14" authorId="1" guid="{BB2A446D-B0D4-4AE2-BB4D-F257A41FD968}" shapeId="0">
      <text>
        <r>
          <rPr>
            <b/>
            <sz val="9"/>
            <color indexed="81"/>
            <rFont val="Tahoma"/>
            <charset val="1"/>
          </rPr>
          <t>Heidi Raae Vinge:</t>
        </r>
        <r>
          <rPr>
            <sz val="9"/>
            <color indexed="81"/>
            <rFont val="Tahoma"/>
            <charset val="1"/>
          </rPr>
          <t xml:space="preserve">
fra 2 til 4 eksterne
</t>
        </r>
      </text>
    </comment>
    <comment ref="I22" authorId="2" guid="{9D89AEA8-1D0F-4615-8C8B-F8D37D732EBF}" shapeId="0">
      <text>
        <r>
          <rPr>
            <b/>
            <sz val="9"/>
            <color indexed="81"/>
            <rFont val="Tahoma"/>
            <charset val="1"/>
          </rPr>
          <t>Frode Lyshaugen:</t>
        </r>
        <r>
          <rPr>
            <sz val="9"/>
            <color indexed="81"/>
            <rFont val="Tahoma"/>
            <charset val="1"/>
          </rPr>
          <t xml:space="preserve">
Fra 5 til 6 grupper
</t>
        </r>
      </text>
    </comment>
    <comment ref="I23" authorId="2" guid="{99827370-E218-4067-98DE-1DCCC550582A}" shapeId="0">
      <text>
        <r>
          <rPr>
            <b/>
            <sz val="9"/>
            <color indexed="81"/>
            <rFont val="Tahoma"/>
            <charset val="1"/>
          </rPr>
          <t>Frode Lyshaugen:</t>
        </r>
        <r>
          <rPr>
            <sz val="9"/>
            <color indexed="81"/>
            <rFont val="Tahoma"/>
            <charset val="1"/>
          </rPr>
          <t xml:space="preserve">
Fra 5 til 6 grupper
</t>
        </r>
      </text>
    </comment>
    <comment ref="I24" authorId="2" guid="{67560631-A122-4AF6-A319-BD37297EF82D}" shapeId="0">
      <text>
        <r>
          <rPr>
            <b/>
            <sz val="9"/>
            <color indexed="81"/>
            <rFont val="Tahoma"/>
            <charset val="1"/>
          </rPr>
          <t>Frode Lyshaugen:</t>
        </r>
        <r>
          <rPr>
            <sz val="9"/>
            <color indexed="81"/>
            <rFont val="Tahoma"/>
            <charset val="1"/>
          </rPr>
          <t xml:space="preserve">
Fra 5 til 6 grupper
</t>
        </r>
      </text>
    </comment>
  </commentList>
</comments>
</file>

<file path=xl/comments2.xml><?xml version="1.0" encoding="utf-8"?>
<comments xmlns="http://schemas.openxmlformats.org/spreadsheetml/2006/main">
  <authors>
    <author>Halvor Hegna Ingvaldsen</author>
    <author>Nina Lofstad</author>
  </authors>
  <commentList>
    <comment ref="H10" authorId="0" guid="{BB221E00-D1DE-418D-A40E-A6F4D191A017}" shapeId="0">
      <text>
        <r>
          <rPr>
            <b/>
            <sz val="9"/>
            <color indexed="81"/>
            <rFont val="Tahoma"/>
            <charset val="1"/>
          </rPr>
          <t>Halvor Hegna Ingvaldsen:</t>
        </r>
        <r>
          <rPr>
            <sz val="9"/>
            <color indexed="81"/>
            <rFont val="Tahoma"/>
            <charset val="1"/>
          </rPr>
          <t xml:space="preserve">
Endret fra 0 til 1 
</t>
        </r>
      </text>
    </comment>
    <comment ref="O10" authorId="0" guid="{35960381-5CD0-415F-BE1F-9F76B9E409CD}" shapeId="0">
      <text>
        <r>
          <rPr>
            <b/>
            <sz val="9"/>
            <color indexed="81"/>
            <rFont val="Tahoma"/>
            <charset val="1"/>
          </rPr>
          <t>Halvor Hegna Ingvaldsen:</t>
        </r>
        <r>
          <rPr>
            <sz val="9"/>
            <color indexed="81"/>
            <rFont val="Tahoma"/>
            <charset val="1"/>
          </rPr>
          <t xml:space="preserve">
Endret fra 0 til 1</t>
        </r>
      </text>
    </comment>
    <comment ref="H11" authorId="0" guid="{00AB8802-172B-4A7B-AB30-1B4F799464DD}" shapeId="0">
      <text>
        <r>
          <rPr>
            <b/>
            <sz val="9"/>
            <color indexed="81"/>
            <rFont val="Tahoma"/>
            <charset val="1"/>
          </rPr>
          <t>Halvor Hegna Ingvaldsen:</t>
        </r>
        <r>
          <rPr>
            <sz val="9"/>
            <color indexed="81"/>
            <rFont val="Tahoma"/>
            <charset val="1"/>
          </rPr>
          <t xml:space="preserve">
Endret fra 2 til 3</t>
        </r>
      </text>
    </comment>
    <comment ref="O11" authorId="0" guid="{C711712A-B952-403F-B82D-FD574032B13E}" shapeId="0">
      <text>
        <r>
          <rPr>
            <b/>
            <sz val="9"/>
            <color indexed="81"/>
            <rFont val="Tahoma"/>
            <charset val="1"/>
          </rPr>
          <t>Halvor Hegna Ingvaldsen:</t>
        </r>
        <r>
          <rPr>
            <sz val="9"/>
            <color indexed="81"/>
            <rFont val="Tahoma"/>
            <charset val="1"/>
          </rPr>
          <t xml:space="preserve">
Endret fra 2 til 3</t>
        </r>
      </text>
    </comment>
    <comment ref="E12" authorId="0" guid="{4E103DD1-A0A2-4314-BD1E-A77751DF8906}" shapeId="0">
      <text>
        <r>
          <rPr>
            <b/>
            <sz val="9"/>
            <color indexed="81"/>
            <rFont val="Tahoma"/>
            <charset val="1"/>
          </rPr>
          <t>Halvor Hegna Ingvaldsen:</t>
        </r>
        <r>
          <rPr>
            <sz val="9"/>
            <color indexed="81"/>
            <rFont val="Tahoma"/>
            <charset val="1"/>
          </rPr>
          <t xml:space="preserve">
endret fra 10</t>
        </r>
      </text>
    </comment>
    <comment ref="E17" authorId="0" guid="{63288BE0-ABF2-4307-9EBD-EEA5B7085885}" shapeId="0">
      <text>
        <r>
          <rPr>
            <b/>
            <sz val="9"/>
            <color indexed="81"/>
            <rFont val="Tahoma"/>
            <charset val="1"/>
          </rPr>
          <t>Halvor Hegna Ingvaldsen:</t>
        </r>
        <r>
          <rPr>
            <sz val="9"/>
            <color indexed="81"/>
            <rFont val="Tahoma"/>
            <charset val="1"/>
          </rPr>
          <t xml:space="preserve">
11.10.2022: Antall timer før avklaring om obligatorisk kurskrav med veiledning på JUS3220</t>
        </r>
      </text>
    </comment>
    <comment ref="O17" authorId="0" guid="{30E14064-1384-43FA-B75A-C5053450D302}" shapeId="0">
      <text>
        <r>
          <rPr>
            <b/>
            <sz val="9"/>
            <color indexed="81"/>
            <rFont val="Tahoma"/>
            <charset val="1"/>
          </rPr>
          <t>Halvor Hegna Ingvaldsen:</t>
        </r>
        <r>
          <rPr>
            <sz val="9"/>
            <color indexed="81"/>
            <rFont val="Tahoma"/>
            <charset val="1"/>
          </rPr>
          <t xml:space="preserve">
Endret fa 1 til 2</t>
        </r>
      </text>
    </comment>
    <comment ref="D21" authorId="1" guid="{48D087B0-CB59-4FB3-9C18-569598B1BFFC}" shapeId="0">
      <text>
        <r>
          <rPr>
            <b/>
            <sz val="9"/>
            <color indexed="81"/>
            <rFont val="Tahoma"/>
            <charset val="1"/>
          </rPr>
          <t>Nina Lofstad:</t>
        </r>
        <r>
          <rPr>
            <sz val="9"/>
            <color indexed="81"/>
            <rFont val="Tahoma"/>
            <charset val="1"/>
          </rPr>
          <t xml:space="preserve">
Endret fra 2 til 0 timer.</t>
        </r>
      </text>
    </comment>
    <comment ref="D22" authorId="1" guid="{27446F88-CDB5-46C8-8C28-4D4CE1360F2D}" shapeId="0">
      <text>
        <r>
          <rPr>
            <b/>
            <sz val="9"/>
            <color indexed="81"/>
            <rFont val="Tahoma"/>
            <charset val="1"/>
          </rPr>
          <t>Nina Lofstad:</t>
        </r>
        <r>
          <rPr>
            <sz val="9"/>
            <color indexed="81"/>
            <rFont val="Tahoma"/>
            <charset val="1"/>
          </rPr>
          <t xml:space="preserve">
Endret fra 36 til 34 timer.</t>
        </r>
      </text>
    </comment>
    <comment ref="H22" authorId="1" guid="{1249ED42-1EB2-40F1-9F0E-313B07FE0BB2}" shapeId="0">
      <text>
        <r>
          <rPr>
            <b/>
            <sz val="9"/>
            <color indexed="81"/>
            <rFont val="Tahoma"/>
            <family val="2"/>
          </rPr>
          <t>Nina Lofstad:</t>
        </r>
        <r>
          <rPr>
            <sz val="9"/>
            <color indexed="81"/>
            <rFont val="Tahoma"/>
            <family val="2"/>
          </rPr>
          <t xml:space="preserve">
Endret fra 2 til 3 eksterne lærere. Men tar forbehold om eventuelle endringer.
</t>
        </r>
      </text>
    </comment>
    <comment ref="J22" authorId="0" guid="{0CD6E9EE-E70D-4F67-A5C4-21982F186B1E}" shapeId="0">
      <text>
        <r>
          <rPr>
            <b/>
            <sz val="9"/>
            <color indexed="81"/>
            <rFont val="Tahoma"/>
            <charset val="1"/>
          </rPr>
          <t>Halvor Hegna Ingvaldsen:</t>
        </r>
        <r>
          <rPr>
            <sz val="9"/>
            <color indexed="81"/>
            <rFont val="Tahoma"/>
            <charset val="1"/>
          </rPr>
          <t xml:space="preserve">
endret til 0
</t>
        </r>
        <r>
          <rPr>
            <b/>
            <sz val="9"/>
            <color indexed="81"/>
            <rFont val="Tahoma"/>
            <charset val="1"/>
          </rPr>
          <t>Halvor Hegna Ingvaldsen:</t>
        </r>
        <r>
          <rPr>
            <sz val="9"/>
            <color indexed="81"/>
            <rFont val="Tahoma"/>
            <charset val="1"/>
          </rPr>
          <t xml:space="preserve">
De ble avviklet høsten 2021 etter Margrethes ønske</t>
        </r>
      </text>
    </comment>
    <comment ref="O22" authorId="1" guid="{6FBBBE0B-6CBE-4C4B-8BAE-D5A6CCB2B1DA}" shapeId="0">
      <text>
        <r>
          <rPr>
            <b/>
            <sz val="9"/>
            <color indexed="81"/>
            <rFont val="Tahoma"/>
            <family val="2"/>
          </rPr>
          <t>Nina Lofstad:</t>
        </r>
        <r>
          <rPr>
            <sz val="9"/>
            <color indexed="81"/>
            <rFont val="Tahoma"/>
            <family val="2"/>
          </rPr>
          <t xml:space="preserve">
Endret fra 2 til 3 eksterne lærere. Men tar forbehold om eventuelle endringer.
</t>
        </r>
      </text>
    </comment>
    <comment ref="P22" authorId="0" guid="{3E13871B-CF77-4BE3-97A5-727AE7698433}" shapeId="0">
      <text>
        <r>
          <rPr>
            <b/>
            <sz val="9"/>
            <color indexed="81"/>
            <rFont val="Tahoma"/>
            <charset val="1"/>
          </rPr>
          <t>Halvor Hegna Ingvaldsen:</t>
        </r>
        <r>
          <rPr>
            <sz val="9"/>
            <color indexed="81"/>
            <rFont val="Tahoma"/>
            <charset val="1"/>
          </rPr>
          <t xml:space="preserve">
Endret til 0
</t>
        </r>
      </text>
    </comment>
    <comment ref="D23" authorId="1" guid="{0D3F6125-206E-410A-9370-5AA61EEF9AF9}" shapeId="0">
      <text>
        <r>
          <rPr>
            <b/>
            <sz val="9"/>
            <color indexed="81"/>
            <rFont val="Tahoma"/>
            <charset val="1"/>
          </rPr>
          <t>Nina Lofstad:</t>
        </r>
        <r>
          <rPr>
            <sz val="9"/>
            <color indexed="81"/>
            <rFont val="Tahoma"/>
            <charset val="1"/>
          </rPr>
          <t xml:space="preserve">
Endret fra 12 til 16 timer.</t>
        </r>
      </text>
    </comment>
    <comment ref="H23" authorId="1" guid="{30DEB1E7-20CE-4665-B445-22F9F8811DC1}" shapeId="0">
      <text>
        <r>
          <rPr>
            <b/>
            <sz val="9"/>
            <color indexed="81"/>
            <rFont val="Tahoma"/>
            <family val="2"/>
          </rPr>
          <t>Nina Lofstad:</t>
        </r>
        <r>
          <rPr>
            <sz val="9"/>
            <color indexed="81"/>
            <rFont val="Tahoma"/>
            <family val="2"/>
          </rPr>
          <t xml:space="preserve">
Endret fra 2 til 4 eksterne lærere. Men tar forbehold om eventuelle endringer.
</t>
        </r>
      </text>
    </comment>
    <comment ref="J23" authorId="0" guid="{D713CCB1-B6AA-4D65-AAA0-B2F6FA25157C}" shapeId="0">
      <text>
        <r>
          <rPr>
            <b/>
            <sz val="9"/>
            <color indexed="81"/>
            <rFont val="Tahoma"/>
            <charset val="1"/>
          </rPr>
          <t>Halvor Hegna Ingvaldsen:</t>
        </r>
        <r>
          <rPr>
            <sz val="9"/>
            <color indexed="81"/>
            <rFont val="Tahoma"/>
            <charset val="1"/>
          </rPr>
          <t xml:space="preserve">
endret til 0
</t>
        </r>
      </text>
    </comment>
    <comment ref="O23" authorId="1" guid="{C6D3807F-1B82-4838-A47B-1CB3D9FBF28C}" shapeId="0">
      <text>
        <r>
          <rPr>
            <b/>
            <sz val="9"/>
            <color indexed="81"/>
            <rFont val="Tahoma"/>
            <family val="2"/>
          </rPr>
          <t>Nina Lofstad:</t>
        </r>
        <r>
          <rPr>
            <sz val="9"/>
            <color indexed="81"/>
            <rFont val="Tahoma"/>
            <family val="2"/>
          </rPr>
          <t xml:space="preserve">
Ansatt flere interne lærere på Institutt for Privatrett som kan brukes til selskapsrett.
</t>
        </r>
      </text>
    </comment>
    <comment ref="P23" authorId="0" guid="{FECE3E81-A412-4400-BB4F-4817968830D7}" shapeId="0">
      <text>
        <r>
          <rPr>
            <b/>
            <sz val="9"/>
            <color indexed="81"/>
            <rFont val="Tahoma"/>
            <charset val="1"/>
          </rPr>
          <t>Halvor Hegna Ingvaldsen:</t>
        </r>
        <r>
          <rPr>
            <sz val="9"/>
            <color indexed="81"/>
            <rFont val="Tahoma"/>
            <charset val="1"/>
          </rPr>
          <t xml:space="preserve">
Endret til 0</t>
        </r>
      </text>
    </comment>
    <comment ref="D24" authorId="0" guid="{295579EE-AACE-4200-A4E0-B12CFFCBC09B}" shapeId="0">
      <text>
        <r>
          <rPr>
            <b/>
            <sz val="9"/>
            <color indexed="81"/>
            <rFont val="Tahoma"/>
            <charset val="1"/>
          </rPr>
          <t>Halvor Hegna Ingvaldsen:</t>
        </r>
        <r>
          <rPr>
            <sz val="9"/>
            <color indexed="81"/>
            <rFont val="Tahoma"/>
            <charset val="1"/>
          </rPr>
          <t xml:space="preserve">
Endret til 8 (fra 6). 4 gjennomganger x 2</t>
        </r>
      </text>
    </comment>
    <comment ref="D25" authorId="1" guid="{DA9C0891-E3C2-48DA-A524-51E4A1124F07}" shapeId="0">
      <text>
        <r>
          <rPr>
            <b/>
            <sz val="9"/>
            <color indexed="81"/>
            <rFont val="Tahoma"/>
            <charset val="1"/>
          </rPr>
          <t>Nina Lofstad:</t>
        </r>
        <r>
          <rPr>
            <sz val="9"/>
            <color indexed="81"/>
            <rFont val="Tahoma"/>
            <charset val="1"/>
          </rPr>
          <t xml:space="preserve">
Forelesning i eksamensforberedelse er knyttet til selskapsrett.</t>
        </r>
      </text>
    </comment>
  </commentList>
</comments>
</file>

<file path=xl/comments3.xml><?xml version="1.0" encoding="utf-8"?>
<comments xmlns="http://schemas.openxmlformats.org/spreadsheetml/2006/main">
  <authors>
    <author>Lillian M. Stang Almaas</author>
    <author>Vibeke Andersen</author>
  </authors>
  <commentList>
    <comment ref="D10" authorId="0" guid="{3AF3A303-6B52-44BA-A43B-DE10443D5A42}" shapeId="0">
      <text>
        <r>
          <rPr>
            <b/>
            <sz val="9"/>
            <color indexed="81"/>
            <rFont val="Tahoma"/>
            <family val="2"/>
          </rPr>
          <t>Lillian M. Stang Almaas:</t>
        </r>
        <r>
          <rPr>
            <i/>
            <sz val="9"/>
            <color indexed="81"/>
            <rFont val="Tahoma"/>
            <family val="2"/>
          </rPr>
          <t xml:space="preserve">
tre fag behov for 3 timer
</t>
        </r>
      </text>
    </comment>
    <comment ref="F11" authorId="1" guid="{4E6C6119-2650-4753-B208-53BC2B4C4F4B}" shapeId="0">
      <text>
        <r>
          <rPr>
            <b/>
            <sz val="9"/>
            <color indexed="81"/>
            <rFont val="Tahoma"/>
            <charset val="1"/>
          </rPr>
          <t>Vibeke Andersen:</t>
        </r>
        <r>
          <rPr>
            <sz val="9"/>
            <color indexed="81"/>
            <rFont val="Tahoma"/>
            <charset val="1"/>
          </rPr>
          <t xml:space="preserve">
Redusert fra 40 til 30
(180 studenter)</t>
        </r>
      </text>
    </comment>
    <comment ref="F12" authorId="1" guid="{3A1303BF-D8B6-4B90-B20A-B6B3D0A3D3B3}" shapeId="0">
      <text>
        <r>
          <rPr>
            <b/>
            <sz val="9"/>
            <color indexed="81"/>
            <rFont val="Tahoma"/>
            <charset val="1"/>
          </rPr>
          <t>Vibeke Andersen:</t>
        </r>
        <r>
          <rPr>
            <sz val="9"/>
            <color indexed="81"/>
            <rFont val="Tahoma"/>
            <charset val="1"/>
          </rPr>
          <t xml:space="preserve">
Redusert fra 40 til 30
(180 studenter)</t>
        </r>
      </text>
    </comment>
    <comment ref="H12" authorId="1" guid="{46E0F196-4F50-48BA-8824-AAF4C2897FFC}" shapeId="0">
      <text>
        <r>
          <rPr>
            <b/>
            <sz val="9"/>
            <color indexed="81"/>
            <rFont val="Tahoma"/>
            <charset val="1"/>
          </rPr>
          <t>Vibeke Andersen:</t>
        </r>
        <r>
          <rPr>
            <sz val="9"/>
            <color indexed="81"/>
            <rFont val="Tahoma"/>
            <charset val="1"/>
          </rPr>
          <t xml:space="preserve">
Kan bli =, men Sofie Høgestøl er usikker resurs grunnet Stortinget.
</t>
        </r>
      </text>
    </comment>
    <comment ref="F13" authorId="1" guid="{42A8BFB9-5CD4-497E-9946-8B2D3B16C63A}" shapeId="0">
      <text>
        <r>
          <rPr>
            <b/>
            <sz val="9"/>
            <color indexed="81"/>
            <rFont val="Tahoma"/>
            <charset val="1"/>
          </rPr>
          <t>Vibeke Andersen:</t>
        </r>
        <r>
          <rPr>
            <sz val="9"/>
            <color indexed="81"/>
            <rFont val="Tahoma"/>
            <charset val="1"/>
          </rPr>
          <t xml:space="preserve">
Redusert fra 40 til 30
(180 studenter)</t>
        </r>
      </text>
    </comment>
    <comment ref="H13" authorId="1" guid="{9AACEDAB-39F0-4B7F-91FE-BA14F0DC8766}" shapeId="0">
      <text>
        <r>
          <rPr>
            <b/>
            <sz val="9"/>
            <color indexed="81"/>
            <rFont val="Tahoma"/>
            <charset val="1"/>
          </rPr>
          <t>Vibeke Andersen:</t>
        </r>
        <r>
          <rPr>
            <sz val="9"/>
            <color indexed="81"/>
            <rFont val="Tahoma"/>
            <charset val="1"/>
          </rPr>
          <t xml:space="preserve">
redusert fra 5 til 3
</t>
        </r>
      </text>
    </comment>
    <comment ref="F20" authorId="1" guid="{354AE7BC-972F-4094-A2C9-E92602B1CC3B}" shapeId="0">
      <text>
        <r>
          <rPr>
            <b/>
            <sz val="9"/>
            <color indexed="81"/>
            <rFont val="Tahoma"/>
            <charset val="1"/>
          </rPr>
          <t>Vibeke Andersen:</t>
        </r>
        <r>
          <rPr>
            <sz val="9"/>
            <color indexed="81"/>
            <rFont val="Tahoma"/>
            <charset val="1"/>
          </rPr>
          <t xml:space="preserve">
Redusert fra 40 til 30
(180 studenter)</t>
        </r>
      </text>
    </comment>
    <comment ref="F21" authorId="1" guid="{4FE17941-D456-450C-A020-740DEA59D947}" shapeId="0">
      <text>
        <r>
          <rPr>
            <b/>
            <sz val="9"/>
            <color indexed="81"/>
            <rFont val="Tahoma"/>
            <charset val="1"/>
          </rPr>
          <t>Vibeke Andersen:</t>
        </r>
        <r>
          <rPr>
            <sz val="9"/>
            <color indexed="81"/>
            <rFont val="Tahoma"/>
            <charset val="1"/>
          </rPr>
          <t xml:space="preserve">
Redusert fra 40 til 30
(180 studenter)</t>
        </r>
      </text>
    </comment>
    <comment ref="I21" authorId="1" guid="{8DB307F5-7DB3-4750-824B-2EB14ACB1312}" shapeId="0">
      <text>
        <r>
          <rPr>
            <b/>
            <sz val="9"/>
            <color indexed="81"/>
            <rFont val="Tahoma"/>
            <charset val="1"/>
          </rPr>
          <t>Vibeke Andersen:</t>
        </r>
        <r>
          <rPr>
            <sz val="9"/>
            <color indexed="81"/>
            <rFont val="Tahoma"/>
            <charset val="1"/>
          </rPr>
          <t xml:space="preserve">
økt fra 12 til 28. Tenkte feil i fjor. Antall  personer og ikke antall timer. 4
</t>
        </r>
      </text>
    </comment>
    <comment ref="H24" authorId="1" guid="{60610629-61FF-4FB8-B1A0-48E5AA398D16}" shapeId="0">
      <text>
        <r>
          <rPr>
            <b/>
            <sz val="9"/>
            <color indexed="81"/>
            <rFont val="Tahoma"/>
            <charset val="1"/>
          </rPr>
          <t>Vibeke Andersen:</t>
        </r>
        <r>
          <rPr>
            <sz val="9"/>
            <color indexed="81"/>
            <rFont val="Tahoma"/>
            <charset val="1"/>
          </rPr>
          <t xml:space="preserve">
ikke avklart hvem som underviser
</t>
        </r>
      </text>
    </comment>
    <comment ref="F25" authorId="1" guid="{68FC008F-9F18-427B-BC5A-EE862C0CFC2E}" shapeId="0">
      <text>
        <r>
          <rPr>
            <b/>
            <sz val="9"/>
            <color indexed="81"/>
            <rFont val="Tahoma"/>
            <charset val="1"/>
          </rPr>
          <t>Vibeke Andersen:</t>
        </r>
        <r>
          <rPr>
            <sz val="9"/>
            <color indexed="81"/>
            <rFont val="Tahoma"/>
            <charset val="1"/>
          </rPr>
          <t xml:space="preserve">
økt fra 30 til 40. 
</t>
        </r>
      </text>
    </comment>
    <comment ref="G25" authorId="1" guid="{4B297B53-2880-4404-AE7B-AAA50F284F02}" shapeId="0">
      <text>
        <r>
          <rPr>
            <b/>
            <sz val="9"/>
            <color indexed="81"/>
            <rFont val="Tahoma"/>
            <charset val="1"/>
          </rPr>
          <t>Vibeke Andersen:</t>
        </r>
        <r>
          <rPr>
            <sz val="9"/>
            <color indexed="81"/>
            <rFont val="Tahoma"/>
            <charset val="1"/>
          </rPr>
          <t xml:space="preserve">
Redusert fra 3 til 2 kurs
</t>
        </r>
      </text>
    </comment>
    <comment ref="H25" authorId="1" guid="{15F57287-BB3D-4077-B267-896B52A08801}" shapeId="0">
      <text>
        <r>
          <rPr>
            <b/>
            <sz val="9"/>
            <color indexed="81"/>
            <rFont val="Tahoma"/>
            <charset val="1"/>
          </rPr>
          <t>Vibeke Andersen:</t>
        </r>
        <r>
          <rPr>
            <sz val="9"/>
            <color indexed="81"/>
            <rFont val="Tahoma"/>
            <charset val="1"/>
          </rPr>
          <t xml:space="preserve">
Fjernet ekstern kurslærer
</t>
        </r>
      </text>
    </comment>
    <comment ref="M25" authorId="1" guid="{4F041DD6-079A-483E-ADF5-38A970B293B5}" shapeId="0">
      <text>
        <r>
          <rPr>
            <b/>
            <sz val="9"/>
            <color indexed="81"/>
            <rFont val="Tahoma"/>
            <charset val="1"/>
          </rPr>
          <t>Vibeke Andersen:</t>
        </r>
        <r>
          <rPr>
            <sz val="9"/>
            <color indexed="81"/>
            <rFont val="Tahoma"/>
            <charset val="1"/>
          </rPr>
          <t xml:space="preserve">
redusert fra 3 til 2
</t>
        </r>
      </text>
    </comment>
    <comment ref="N25" authorId="1" guid="{FCF63948-8834-4817-947B-7D44BFCE9722}" shapeId="0">
      <text>
        <r>
          <rPr>
            <b/>
            <sz val="9"/>
            <color indexed="81"/>
            <rFont val="Tahoma"/>
            <charset val="1"/>
          </rPr>
          <t>Vibeke Andersen:</t>
        </r>
        <r>
          <rPr>
            <sz val="9"/>
            <color indexed="81"/>
            <rFont val="Tahoma"/>
            <charset val="1"/>
          </rPr>
          <t xml:space="preserve">
redusert fra 1 til 0
</t>
        </r>
      </text>
    </comment>
    <comment ref="H26" authorId="1" guid="{EDF26613-C623-4BDF-A7A7-486745AE25F4}" shapeId="0">
      <text>
        <r>
          <rPr>
            <b/>
            <sz val="9"/>
            <color indexed="81"/>
            <rFont val="Tahoma"/>
            <charset val="1"/>
          </rPr>
          <t>Vibeke Andersen:</t>
        </r>
        <r>
          <rPr>
            <sz val="9"/>
            <color indexed="81"/>
            <rFont val="Tahoma"/>
            <charset val="1"/>
          </rPr>
          <t xml:space="preserve">
lagt inn ekstern kurslærer. 
</t>
        </r>
      </text>
    </comment>
    <comment ref="N26" authorId="1" guid="{7C09D147-CED0-4CAF-942F-5EC1CF941144}" shapeId="0">
      <text>
        <r>
          <rPr>
            <b/>
            <sz val="9"/>
            <color indexed="81"/>
            <rFont val="Tahoma"/>
            <charset val="1"/>
          </rPr>
          <t>Vibeke Andersen:</t>
        </r>
        <r>
          <rPr>
            <sz val="9"/>
            <color indexed="81"/>
            <rFont val="Tahoma"/>
            <charset val="1"/>
          </rPr>
          <t xml:space="preserve">
økt fra 0 til 1
</t>
        </r>
      </text>
    </comment>
  </commentList>
</comments>
</file>

<file path=xl/comments4.xml><?xml version="1.0" encoding="utf-8"?>
<comments xmlns="http://schemas.openxmlformats.org/spreadsheetml/2006/main">
  <authors>
    <author>Trond Skjeie</author>
  </authors>
  <commentList>
    <comment ref="B14" authorId="0" guid="{15723E65-F9A5-4218-B639-77B065B1EACE}" shapeId="0">
      <text>
        <r>
          <rPr>
            <b/>
            <sz val="9"/>
            <color indexed="81"/>
            <rFont val="Tahoma"/>
            <family val="2"/>
          </rPr>
          <t>Trond Skjeie:</t>
        </r>
        <r>
          <rPr>
            <sz val="9"/>
            <color indexed="81"/>
            <rFont val="Tahoma"/>
            <family val="2"/>
          </rPr>
          <t xml:space="preserve">
Annenhvert år, neste gang 2023</t>
        </r>
      </text>
    </comment>
    <comment ref="C66" authorId="0" guid="{AF99DF19-D384-4178-80DC-FADBA8C17460}" shapeId="0">
      <text>
        <r>
          <rPr>
            <b/>
            <sz val="9"/>
            <color indexed="81"/>
            <rFont val="Tahoma"/>
            <family val="2"/>
          </rPr>
          <t>Trond Skjeie:</t>
        </r>
        <r>
          <rPr>
            <sz val="9"/>
            <color indexed="81"/>
            <rFont val="Tahoma"/>
            <family val="2"/>
          </rPr>
          <t xml:space="preserve">
Annet hvert år, neste gang høst 2021</t>
        </r>
      </text>
    </comment>
  </commentList>
</comments>
</file>

<file path=xl/sharedStrings.xml><?xml version="1.0" encoding="utf-8"?>
<sst xmlns="http://schemas.openxmlformats.org/spreadsheetml/2006/main" count="536" uniqueCount="374">
  <si>
    <t>Ex.phil 10 sp</t>
  </si>
  <si>
    <t>Fag</t>
  </si>
  <si>
    <t>Antall deltakere per  kurs</t>
  </si>
  <si>
    <t>Forventet antall studenter pr semester</t>
  </si>
  <si>
    <t>Totalt undervisning</t>
  </si>
  <si>
    <t>Timesats undervisning</t>
  </si>
  <si>
    <t>Timesats oppgaver</t>
  </si>
  <si>
    <t>Basis-grupper timer</t>
  </si>
  <si>
    <t>Kollokviegrupper</t>
  </si>
  <si>
    <t>Introduksjon</t>
  </si>
  <si>
    <t>Basisgrupper</t>
  </si>
  <si>
    <t>Eksamensrettet kurs</t>
  </si>
  <si>
    <t>Oppgaveløsningsseminar fak.oppg</t>
  </si>
  <si>
    <t>JUS1111</t>
  </si>
  <si>
    <t>JUS1211</t>
  </si>
  <si>
    <t>JUS2111</t>
  </si>
  <si>
    <t>JUS2211</t>
  </si>
  <si>
    <t>JUS4111</t>
  </si>
  <si>
    <t>JUS4211</t>
  </si>
  <si>
    <t>Perspektivfag 4121/4122 (10 sp hver)</t>
  </si>
  <si>
    <t>Timesats kollokvie*</t>
  </si>
  <si>
    <t xml:space="preserve">Totalt </t>
  </si>
  <si>
    <t>Emneleveranser</t>
  </si>
  <si>
    <t>Internasjonalisering</t>
  </si>
  <si>
    <t xml:space="preserve">Oppsummering </t>
  </si>
  <si>
    <t>2. studieår</t>
  </si>
  <si>
    <t>3. studieår</t>
  </si>
  <si>
    <t>4. studieår</t>
  </si>
  <si>
    <t>Manuduksjoner</t>
  </si>
  <si>
    <t>Antall timer undervisning</t>
  </si>
  <si>
    <t>Antall timer oppgaver</t>
  </si>
  <si>
    <t>Totalt</t>
  </si>
  <si>
    <t>Ekstern kostnad</t>
  </si>
  <si>
    <t>Timer</t>
  </si>
  <si>
    <t>Sted</t>
  </si>
  <si>
    <t>Prosjekt</t>
  </si>
  <si>
    <t>Bud</t>
  </si>
  <si>
    <t>kollokvier</t>
  </si>
  <si>
    <t>Andel eksterne</t>
  </si>
  <si>
    <t>Budsjettark 1. studieår</t>
  </si>
  <si>
    <t xml:space="preserve"> </t>
  </si>
  <si>
    <t>Timer pr studiepoeng</t>
  </si>
  <si>
    <t>Budsjett</t>
  </si>
  <si>
    <t xml:space="preserve">Antall timer planlagt pr år </t>
  </si>
  <si>
    <t>kurs</t>
  </si>
  <si>
    <t>pbl</t>
  </si>
  <si>
    <t>oppgaver</t>
  </si>
  <si>
    <t>Eksternt timer antall</t>
  </si>
  <si>
    <t>forelesning</t>
  </si>
  <si>
    <t>Antall grupper kurs vår</t>
  </si>
  <si>
    <t>Antall grupper PBL vår</t>
  </si>
  <si>
    <t>Antall grupper PBL høst</t>
  </si>
  <si>
    <t>Antall timer vår</t>
  </si>
  <si>
    <t>Antall timer høst</t>
  </si>
  <si>
    <t>Fakultetsoppgaver kostnad</t>
  </si>
  <si>
    <t>Kursoppgaver kostnad</t>
  </si>
  <si>
    <t>Antall eksterne kurs</t>
  </si>
  <si>
    <t>Antall eksterne lærere og timer</t>
  </si>
  <si>
    <t>Fakultets-oppgaver kostnad</t>
  </si>
  <si>
    <t>Kurs-oppgaver kostnad</t>
  </si>
  <si>
    <t>Antall basis-grupper vår</t>
  </si>
  <si>
    <t>Antall basis-grupper høst</t>
  </si>
  <si>
    <t>Total undervisnings-Kostnad</t>
  </si>
  <si>
    <t>Eksterne timer antall</t>
  </si>
  <si>
    <t>Antall eksterne PBL</t>
  </si>
  <si>
    <t>Grunnleggende skatterett</t>
  </si>
  <si>
    <t>Petroleumskontrakter</t>
  </si>
  <si>
    <t xml:space="preserve">Arbeidsrett, kol.del </t>
  </si>
  <si>
    <t>Barnerett</t>
  </si>
  <si>
    <t>Bygge- og entrepriserett</t>
  </si>
  <si>
    <t>Kommunalrett</t>
  </si>
  <si>
    <t>Selskapsrett</t>
  </si>
  <si>
    <t>Sjørett: Kontrakter JUS5403</t>
  </si>
  <si>
    <t>Sjørett: Ansvar &amp; forsikring</t>
  </si>
  <si>
    <t>Trygderett</t>
  </si>
  <si>
    <t>Utlendingsrett</t>
  </si>
  <si>
    <t>Markedsrett</t>
  </si>
  <si>
    <t>Internasjonal gjeldsforfølgningsrett</t>
  </si>
  <si>
    <t>Diskriminerings- og likestillingsrett</t>
  </si>
  <si>
    <t>Ekspropriasjonsrett</t>
  </si>
  <si>
    <t>Helserett</t>
  </si>
  <si>
    <t>Int. privatrett</t>
  </si>
  <si>
    <t>Opphavsrett</t>
  </si>
  <si>
    <t>Rettshistorie</t>
  </si>
  <si>
    <t>Samerett</t>
  </si>
  <si>
    <t xml:space="preserve">Skatterett </t>
  </si>
  <si>
    <t>Arbeidsrett, ind.del</t>
  </si>
  <si>
    <t>Emner som tilbys på engelsk</t>
  </si>
  <si>
    <t>English Law of Contract</t>
  </si>
  <si>
    <t>International Climate change and Energy Law</t>
  </si>
  <si>
    <t>International commercial Law</t>
  </si>
  <si>
    <t>International Criminal Law</t>
  </si>
  <si>
    <t>International Investment Law</t>
  </si>
  <si>
    <t>Marine Insurance</t>
  </si>
  <si>
    <t>Privacy, DataProtection and Lex Informatica</t>
  </si>
  <si>
    <t>Refugee and Asylum Law</t>
  </si>
  <si>
    <t>Women's Law and Human Rights</t>
  </si>
  <si>
    <t xml:space="preserve">International Comparative Labour Law </t>
  </si>
  <si>
    <t>International Constitutional Law and Democracy</t>
  </si>
  <si>
    <t>International Environmental Law</t>
  </si>
  <si>
    <t>Internet Governance</t>
  </si>
  <si>
    <t>International Human Rights Law: Institutions and procedures</t>
  </si>
  <si>
    <t>International Humaniatarian Law</t>
  </si>
  <si>
    <t>International Trade Law</t>
  </si>
  <si>
    <t>Maritime Law- Contracts</t>
  </si>
  <si>
    <t>Maritime Law- Liability and Insurance</t>
  </si>
  <si>
    <t>Public International Law</t>
  </si>
  <si>
    <t>Eksterne timer</t>
  </si>
  <si>
    <t>Totalt antall timer undervisning og oppgaver</t>
  </si>
  <si>
    <t>Budsjett diverse undervisning:</t>
  </si>
  <si>
    <t>Sats kroner</t>
  </si>
  <si>
    <t>timer vår</t>
  </si>
  <si>
    <t>timer høst</t>
  </si>
  <si>
    <t>Språkfag (engelsk, tysk og fransk for jurister)</t>
  </si>
  <si>
    <t xml:space="preserve">Engelsk: </t>
  </si>
  <si>
    <t>Tysk:</t>
  </si>
  <si>
    <t xml:space="preserve">Fransk: </t>
  </si>
  <si>
    <t xml:space="preserve">Emneleveranser: </t>
  </si>
  <si>
    <t>Fakultetsoppgaver som tilbys høst</t>
  </si>
  <si>
    <t>Fakultetsoppgaver som tilbys  vår</t>
  </si>
  <si>
    <t>Kursoppgaver som tilbys vår</t>
  </si>
  <si>
    <t>Kursoppgaver som tilbys høst</t>
  </si>
  <si>
    <t>Timer disponibelt pr emne</t>
  </si>
  <si>
    <t>sum kroner</t>
  </si>
  <si>
    <t>andel eksterne</t>
  </si>
  <si>
    <t>DRI + Forvaltn.inf.master</t>
  </si>
  <si>
    <t>SUM</t>
  </si>
  <si>
    <t>Sosialrett</t>
  </si>
  <si>
    <t>Naturressursrett</t>
  </si>
  <si>
    <t>EU- Substantive Law</t>
  </si>
  <si>
    <t>Counter-terroisme and Human rights( veksler med humr5134)</t>
  </si>
  <si>
    <t>Forelesningstimer</t>
  </si>
  <si>
    <t>1. studieår*</t>
  </si>
  <si>
    <t>*inkl 1728 timer studentledete kollokvier</t>
  </si>
  <si>
    <t>Språkfag, jf tabell nedenfor</t>
  </si>
  <si>
    <t>Emneleveranser, jf tabell nedenfor</t>
  </si>
  <si>
    <t>JUROFF1410 (Folkerett) Vår 2 K à 10 t</t>
  </si>
  <si>
    <t>Sum språkfag</t>
  </si>
  <si>
    <t>Sum emneleveranser</t>
  </si>
  <si>
    <t>Internasjonale mastergrader</t>
  </si>
  <si>
    <t>Antall basis-grupper</t>
  </si>
  <si>
    <t>Totalt antall timer undervisn. og oppg.</t>
  </si>
  <si>
    <t>Total kostn. undervisn. og oppg.</t>
  </si>
  <si>
    <t>PBL-timer</t>
  </si>
  <si>
    <t>Total kostn. Undervisn. og oppg.</t>
  </si>
  <si>
    <t>Totalt antall timer under-visning og oppgaver</t>
  </si>
  <si>
    <t>Total kostn. undervisn. og oppgaver</t>
  </si>
  <si>
    <t>Antall Forelesn-timer</t>
  </si>
  <si>
    <t>Antall kurs-timer</t>
  </si>
  <si>
    <t>Total undervisn-kostnad</t>
  </si>
  <si>
    <t>Fakultets-oppgaver som tilbys vår</t>
  </si>
  <si>
    <t>Fakultets-oppgaver som tilbys høst</t>
  </si>
  <si>
    <t>Kurs-oppgaver som tilbys vår</t>
  </si>
  <si>
    <t>Kurs-oppgaver som tilbys høst</t>
  </si>
  <si>
    <t>internasjonale mastergrader</t>
  </si>
  <si>
    <t>språkfag</t>
  </si>
  <si>
    <t>emneleveranser</t>
  </si>
  <si>
    <t>veiledning</t>
  </si>
  <si>
    <t>internasjonalisering</t>
  </si>
  <si>
    <t>Språkfag</t>
  </si>
  <si>
    <t>Studiepoeng</t>
  </si>
  <si>
    <t>Rettslig bevisteori</t>
  </si>
  <si>
    <t>Lovgivningslære</t>
  </si>
  <si>
    <t>Humr5140</t>
  </si>
  <si>
    <t>Humr5131</t>
  </si>
  <si>
    <t>Humr5191</t>
  </si>
  <si>
    <t>Humr4504(praksis)</t>
  </si>
  <si>
    <t>Valgemner</t>
  </si>
  <si>
    <t>Humr5702</t>
  </si>
  <si>
    <t>Humr5508</t>
  </si>
  <si>
    <t>Humr5502</t>
  </si>
  <si>
    <t>Humr5133</t>
  </si>
  <si>
    <t>2 kurs som er kostandsberegnet under valgemner:</t>
  </si>
  <si>
    <t>Humr5134</t>
  </si>
  <si>
    <t>Jus5503</t>
  </si>
  <si>
    <t xml:space="preserve">Programmet benytter for det meste interne lærekrefter i sine emner. Fakultets og senterers lærekrefter </t>
  </si>
  <si>
    <t>( eks. Kjetil Larsen, Stener Ekern, Gentian Zyberi..)</t>
  </si>
  <si>
    <t>Programmet har 5 obligatoriske moduler:</t>
  </si>
  <si>
    <t>Kommentarer til Undervisning i Human Rights programmet::</t>
  </si>
  <si>
    <t>Veiledning i jusstudiet (30 og 60 sp)</t>
  </si>
  <si>
    <t>Human Rights and Diversity - Leading Cases and Core Dilemmas</t>
  </si>
  <si>
    <t>The Right to Peace( veksler med JUS5503)</t>
  </si>
  <si>
    <t xml:space="preserve">Legal Writing and Oral Advocacy in International Law </t>
  </si>
  <si>
    <t>Introduction to the History, Philosophy and Politics of Human Rights HUMR5131</t>
  </si>
  <si>
    <t>Human Rights Law in Context h5132</t>
  </si>
  <si>
    <t>Business and Human Rights H5133</t>
  </si>
  <si>
    <t>Introd. to Human Rights LawH5140</t>
  </si>
  <si>
    <t>Ethnic Challenges to the Nation State: Studying State Responses from a H. Rights PerspectiveH5502</t>
  </si>
  <si>
    <t>Human Rights in Practice H4504</t>
  </si>
  <si>
    <t>Human Rights Methodology: Research, Analysis and ThesisH5191</t>
  </si>
  <si>
    <t>Human Rights and Development: Interdisciplinary Perspectives on Theory and PracticesH5702</t>
  </si>
  <si>
    <t>Introduksjon (4111)</t>
  </si>
  <si>
    <t>Introduksjon (4211)</t>
  </si>
  <si>
    <t>Oppgaveløsningsseminar fak.oppg**</t>
  </si>
  <si>
    <t>obligatorisk oppsamling</t>
  </si>
  <si>
    <t>EU Competition Law</t>
  </si>
  <si>
    <t>klokketimer</t>
  </si>
  <si>
    <t>Antall eksterne PBL per år</t>
  </si>
  <si>
    <t>word-kurs</t>
  </si>
  <si>
    <t>Antall grupper vår</t>
  </si>
  <si>
    <t>Herav antall eksterne grupper vår</t>
  </si>
  <si>
    <t>Antall grupper  høst</t>
  </si>
  <si>
    <t>Herav antall eksterne grupper høst</t>
  </si>
  <si>
    <t>Antall grupper høst</t>
  </si>
  <si>
    <t>Herav antall eksterne kurs høst</t>
  </si>
  <si>
    <t>Herav antall eksterne kurs vår</t>
  </si>
  <si>
    <t xml:space="preserve">Eksterne timer antall </t>
  </si>
  <si>
    <t>Eksterne forelesninger antall pr år, 2 semestere</t>
  </si>
  <si>
    <t>Eksterne forelesninger, antall pr år, 2 semestere</t>
  </si>
  <si>
    <t>Manduksjoner</t>
  </si>
  <si>
    <t>Antall grupper  kurs høst</t>
  </si>
  <si>
    <t>Antall eksterne kurs pr år</t>
  </si>
  <si>
    <t>Skrivekurs masteroppgave - kurs</t>
  </si>
  <si>
    <t>Skrivekurs masteroppgave - forelesninger</t>
  </si>
  <si>
    <t xml:space="preserve">Konkurs- og panterett </t>
  </si>
  <si>
    <t xml:space="preserve">Konflikthåndtering </t>
  </si>
  <si>
    <t xml:space="preserve">Offentlige anskaffelser </t>
  </si>
  <si>
    <t xml:space="preserve">Internasjonal skatterett  </t>
  </si>
  <si>
    <t>Eksterne timer antall PBL</t>
  </si>
  <si>
    <t>Totalt klokketimer</t>
  </si>
  <si>
    <t>Totalt undervisnings-timer</t>
  </si>
  <si>
    <t>JUS3220</t>
  </si>
  <si>
    <t>Rettshistorie 8 sp</t>
  </si>
  <si>
    <t>Skrivekurs semesteroppgave</t>
  </si>
  <si>
    <t xml:space="preserve">Cybersecurity Regulation </t>
  </si>
  <si>
    <t>Prosedyreøvelse</t>
  </si>
  <si>
    <t>Forhandlinger</t>
  </si>
  <si>
    <t>TULSA og andre tiltak</t>
  </si>
  <si>
    <t>JUROFF1201 (Forvaltningsrett for ikke-jurister) 25 t F, 4 K à 10 t</t>
  </si>
  <si>
    <t xml:space="preserve">JUROFF1500 (strafferett) Vår og Høst 10 t F, 1 K à 8 t </t>
  </si>
  <si>
    <t>Kurs i digitale hjelpemidler (Lovdata)</t>
  </si>
  <si>
    <t>Reisemidler språkfag</t>
  </si>
  <si>
    <t xml:space="preserve">Prosedyrekonkurranser </t>
  </si>
  <si>
    <t>Robot Regulation</t>
  </si>
  <si>
    <t>Legal Technology: Artificial Intelligence and Law</t>
  </si>
  <si>
    <t>Total undervisnings-kostnad</t>
  </si>
  <si>
    <t>Andre undervisningstiltak i jusstudiet og undervisning i andre studieprogrammer</t>
  </si>
  <si>
    <t>Porteføljereduksjon</t>
  </si>
  <si>
    <t>Prosedyrekonkurranser</t>
  </si>
  <si>
    <t>Word-kurs</t>
  </si>
  <si>
    <t>prosedyrekonkurranser</t>
  </si>
  <si>
    <t>Tulsa</t>
  </si>
  <si>
    <t>Går bare hver høst</t>
  </si>
  <si>
    <t>Timesats student</t>
  </si>
  <si>
    <t>intro i rettsøkonomi/rettssosiologi/rettsfilosofi</t>
  </si>
  <si>
    <t>Financial market law and regulation</t>
  </si>
  <si>
    <t xml:space="preserve">HUMR5150 The Philosophy of Human Rights </t>
  </si>
  <si>
    <t>Antall eksterne forelesnings-timer</t>
  </si>
  <si>
    <t>Obligatoriske oppgaver vår</t>
  </si>
  <si>
    <t>Obligatoriske oppgaver høst</t>
  </si>
  <si>
    <t>Obligatoriske oppgaver kostnad</t>
  </si>
  <si>
    <t>Obligatoriske oppgaver kostnad eksterne</t>
  </si>
  <si>
    <t>Obligatorisk kurs fase 2</t>
  </si>
  <si>
    <t>Oppsamlingskurs Obligatorisk kurs fase 2</t>
  </si>
  <si>
    <t>Obligatoriske fakultetsoppgaver vår</t>
  </si>
  <si>
    <t>Obligatoriske fakultetsoppgaver høst</t>
  </si>
  <si>
    <t>Forventet antall gjentaks-studenter</t>
  </si>
  <si>
    <t>Obligatorisk kursoppgave vår</t>
  </si>
  <si>
    <t>Obligatorisk kursoppgave høst</t>
  </si>
  <si>
    <t>Obligatorisk kursoppgave kostnad</t>
  </si>
  <si>
    <t>MA Forvaltningsinformatikk</t>
  </si>
  <si>
    <t>Obligatoriske gruppe-oppgaver gjentak-studenter vår</t>
  </si>
  <si>
    <t>Obligatoriske grupp-eoppgaver gjentak-studenter høst</t>
  </si>
  <si>
    <t>Obligatoriske gruppe-oppgaver kostnad</t>
  </si>
  <si>
    <t>Sum timer 2022</t>
  </si>
  <si>
    <t>Delprosjektkoder - tidligere tiltakskoder</t>
  </si>
  <si>
    <t>Delprosjekt (tidligere tiltak)</t>
  </si>
  <si>
    <t>forelesninger</t>
  </si>
  <si>
    <t>Obligatorisk oppgave vår</t>
  </si>
  <si>
    <t>Obligatorisk oppgave høst</t>
  </si>
  <si>
    <t>Obligatorisk oppgave kostnad</t>
  </si>
  <si>
    <t>JUS3112</t>
  </si>
  <si>
    <t>Gjennomgang fakultetsoppgave</t>
  </si>
  <si>
    <t>JUS3213</t>
  </si>
  <si>
    <t>Formuerett II 20 sp</t>
  </si>
  <si>
    <t>Semesterforelesning</t>
  </si>
  <si>
    <t>Gjennomgang fakultets- og kursoppgave</t>
  </si>
  <si>
    <t>Eksamensforberedelse</t>
  </si>
  <si>
    <t>Sjørett: Petroleumsrett JUS5410</t>
  </si>
  <si>
    <t>Sjørett: Forsikringsrett</t>
  </si>
  <si>
    <t>Energy law</t>
  </si>
  <si>
    <t>Budsjetteres under SFU Cell:</t>
  </si>
  <si>
    <t xml:space="preserve">JUS5080 – Programming for Lawyers </t>
  </si>
  <si>
    <t>Semesteroppgave retting</t>
  </si>
  <si>
    <t>Spørretime Metode</t>
  </si>
  <si>
    <t>Patent- og varemerkerett</t>
  </si>
  <si>
    <t xml:space="preserve">Politi og påtalerett </t>
  </si>
  <si>
    <t>Antall eksterne forelesningstimer</t>
  </si>
  <si>
    <t>Normalandel eksterne</t>
  </si>
  <si>
    <t>Antall innledere vår</t>
  </si>
  <si>
    <t>Antall innledere høst</t>
  </si>
  <si>
    <t>Timesats innledere etikkurs</t>
  </si>
  <si>
    <t>Skriveverksted</t>
  </si>
  <si>
    <t xml:space="preserve">Samling for kollokvieveiledere </t>
  </si>
  <si>
    <t>Studentrettere 1. og 2. studieår</t>
  </si>
  <si>
    <t>Opplæring studentstillinger</t>
  </si>
  <si>
    <t>Konto</t>
  </si>
  <si>
    <t>Arbeidspakke</t>
  </si>
  <si>
    <t>Justeringskode</t>
  </si>
  <si>
    <t>Autopostering</t>
  </si>
  <si>
    <t>Beskrivelse</t>
  </si>
  <si>
    <t>JUST1</t>
  </si>
  <si>
    <t>JUST2</t>
  </si>
  <si>
    <t>JUST3</t>
  </si>
  <si>
    <t>JUST4</t>
  </si>
  <si>
    <t>Periodiserings-nøkkel</t>
  </si>
  <si>
    <t>Beløp</t>
  </si>
  <si>
    <t>Fag og studiepoeng</t>
  </si>
  <si>
    <t>Privatrett 1 - 20 SP</t>
  </si>
  <si>
    <t>Rettskilder til fots - 1 SP</t>
  </si>
  <si>
    <t>Kjøps- og avtalerett - 10 SP</t>
  </si>
  <si>
    <t>Erstatningsrett - 9 SP</t>
  </si>
  <si>
    <t>Privatrett II  - 30 SP</t>
  </si>
  <si>
    <t>Juridisk metodelære - 7 SP</t>
  </si>
  <si>
    <t>Fast eiendoms rettsforhold - 11 SP</t>
  </si>
  <si>
    <t>Familie- og arverett - 12 SP</t>
  </si>
  <si>
    <t>Antall timer undervisning høst</t>
  </si>
  <si>
    <t>Antall timer undervisning planlagt pr år</t>
  </si>
  <si>
    <t>Total sum kostnad undervisning og oppgaver</t>
  </si>
  <si>
    <t>Fargede celler =Tall som legges inn av/avklares med seksjonsleder studie. Hvite celler = tall som beregnes vha formler.</t>
  </si>
  <si>
    <t>Antall timer undervisning vår</t>
  </si>
  <si>
    <t>Ex.fac. - 10 SP</t>
  </si>
  <si>
    <t>Statsforfatningsrett og internasjonal rett - 20 SP</t>
  </si>
  <si>
    <t>Statsforfatningsrett - 10 SP</t>
  </si>
  <si>
    <t>Internasjonale menneskerettigheter - 5 SP</t>
  </si>
  <si>
    <t>Folkerett - 5 SP</t>
  </si>
  <si>
    <t>Forvaltningsrett - 30 SP</t>
  </si>
  <si>
    <t>Alminnelig forvaltningsrett - 13 SP</t>
  </si>
  <si>
    <t>Velferdsrett - 7 SP</t>
  </si>
  <si>
    <t>Miljørett - 5 SP</t>
  </si>
  <si>
    <t>EØS-rett - 5 SP</t>
  </si>
  <si>
    <t>Antall Forelesnings-timer</t>
  </si>
  <si>
    <t>Antall kurstimer</t>
  </si>
  <si>
    <t>Fag  og studiepoeng</t>
  </si>
  <si>
    <t>Formuerett - 22 SP</t>
  </si>
  <si>
    <t>Formuerett 1 (avtalerett, kontraktsrett, pengekravsrett, - 22 SP</t>
  </si>
  <si>
    <t>Rettshistorie  - 8 SP</t>
  </si>
  <si>
    <t>Dynamisk tingsrett - 14 SP</t>
  </si>
  <si>
    <t>Selskapsrett - 6 SP</t>
  </si>
  <si>
    <t>Antall forelesnings timer</t>
  </si>
  <si>
    <t>Obligatoriske fakultets-oppgaver vår</t>
  </si>
  <si>
    <t>Fakultets-oppgaver som tilbys  vår</t>
  </si>
  <si>
    <t>Obligatoriske fakultets-oppgaver høst</t>
  </si>
  <si>
    <t>Total undervisnings-kostnad kr</t>
  </si>
  <si>
    <t>Prosess og strafferett - 30 SP</t>
  </si>
  <si>
    <t>Sivilprosess - 10 SP</t>
  </si>
  <si>
    <t>Strafferett - 10 SP</t>
  </si>
  <si>
    <t>Straffeprosess - 10 SP</t>
  </si>
  <si>
    <t>Metode og etikk - 10 SP</t>
  </si>
  <si>
    <t>Metode - 7 SP</t>
  </si>
  <si>
    <t>Etikk - 3 SP</t>
  </si>
  <si>
    <t>Rettssosiologi - 10 SP</t>
  </si>
  <si>
    <t>Rettsøkonomi - 10 SP</t>
  </si>
  <si>
    <t>Rettsfilosofi - 10 SP</t>
  </si>
  <si>
    <t>Antall forelesnings-timer</t>
  </si>
  <si>
    <t>Antall undervisnings-timer vår</t>
  </si>
  <si>
    <t>Antall undervisnings-timer høst</t>
  </si>
  <si>
    <t xml:space="preserve">Antall timer undervisning planlagt pr år </t>
  </si>
  <si>
    <t>Sum timer 2023</t>
  </si>
  <si>
    <t>Eksamen</t>
  </si>
  <si>
    <t>Undervisning</t>
  </si>
  <si>
    <t>Kostnad eksterne sensorer</t>
  </si>
  <si>
    <t>Internasjonale masterstudier</t>
  </si>
  <si>
    <t>Undervisning kostnad kr</t>
  </si>
  <si>
    <t>Kostnad eksterne lærere</t>
  </si>
  <si>
    <t>Sensur kostnad kr</t>
  </si>
  <si>
    <t>Masteroppgaver</t>
  </si>
  <si>
    <t>Kriminologi og Rettssosiologi</t>
  </si>
  <si>
    <t>Forvaltningsinformatikk</t>
  </si>
  <si>
    <t>Klager og utsatt prøve</t>
  </si>
  <si>
    <t>Total kostnad undervisning og eksamen</t>
  </si>
  <si>
    <t>Total kostnad eksterne</t>
  </si>
  <si>
    <t>Gjennomgang fakultetsoppgaver JUS1111 og JUS1211</t>
  </si>
  <si>
    <t>Kostnad eksterne lærere pr studiepoeng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</si>
</sst>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000000"/>
    <numFmt numFmtId="167" formatCode="#,##0.0"/>
  </numFmts>
  <fonts count="5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.9"/>
      <color rgb="FF2B2B2B"/>
      <name val="Arial"/>
      <family val="2"/>
    </font>
    <font>
      <b/>
      <sz val="18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4"/>
      <name val="Calibri"/>
      <family val="2"/>
    </font>
    <font>
      <i/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rgb="FF00B05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indexed="81"/>
      <name val="Tahoma"/>
      <family val="2"/>
    </font>
    <font>
      <sz val="18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double">
        <color theme="2" tint="-0.24994659260841701"/>
      </left>
      <right/>
      <top/>
      <bottom/>
      <diagonal/>
    </border>
  </borders>
  <cellStyleXfs count="7">
    <xf numFmtId="0" fontId="0" fillId="0" borderId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2" fillId="5" borderId="26" applyNumberFormat="0" applyFont="0" applyAlignment="0" applyProtection="0"/>
    <xf numFmtId="9" fontId="22" fillId="0" borderId="0" applyFont="0" applyFill="0" applyBorder="0" applyAlignment="0" applyProtection="0"/>
  </cellStyleXfs>
  <cellXfs count="412">
    <xf numFmtId="0" fontId="0" fillId="0" borderId="0" xfId="0"/>
    <xf numFmtId="0" fontId="0" fillId="0" borderId="1" xfId="0" applyBorder="1"/>
    <xf numFmtId="0" fontId="26" fillId="0" borderId="1" xfId="0" applyFont="1" applyBorder="1"/>
    <xf numFmtId="3" fontId="0" fillId="0" borderId="1" xfId="0" applyNumberFormat="1" applyBorder="1"/>
    <xf numFmtId="3" fontId="26" fillId="0" borderId="1" xfId="0" applyNumberFormat="1" applyFont="1" applyBorder="1"/>
    <xf numFmtId="3" fontId="0" fillId="0" borderId="0" xfId="0" applyNumberFormat="1"/>
    <xf numFmtId="0" fontId="26" fillId="0" borderId="1" xfId="0" applyFont="1" applyFill="1" applyBorder="1"/>
    <xf numFmtId="0" fontId="26" fillId="0" borderId="0" xfId="0" applyFont="1"/>
    <xf numFmtId="3" fontId="0" fillId="6" borderId="1" xfId="0" applyNumberFormat="1" applyFill="1" applyBorder="1"/>
    <xf numFmtId="3" fontId="26" fillId="6" borderId="1" xfId="0" applyNumberFormat="1" applyFont="1" applyFill="1" applyBorder="1"/>
    <xf numFmtId="0" fontId="0" fillId="0" borderId="2" xfId="0" applyBorder="1"/>
    <xf numFmtId="0" fontId="26" fillId="0" borderId="2" xfId="0" applyFont="1" applyBorder="1"/>
    <xf numFmtId="0" fontId="28" fillId="0" borderId="2" xfId="0" applyFont="1" applyBorder="1"/>
    <xf numFmtId="0" fontId="0" fillId="0" borderId="0" xfId="0" applyFill="1" applyBorder="1"/>
    <xf numFmtId="0" fontId="29" fillId="0" borderId="1" xfId="0" applyFont="1" applyBorder="1"/>
    <xf numFmtId="0" fontId="27" fillId="0" borderId="0" xfId="0" applyFont="1"/>
    <xf numFmtId="3" fontId="30" fillId="6" borderId="1" xfId="0" applyNumberFormat="1" applyFont="1" applyFill="1" applyBorder="1"/>
    <xf numFmtId="16" fontId="0" fillId="0" borderId="0" xfId="0" applyNumberFormat="1"/>
    <xf numFmtId="3" fontId="26" fillId="0" borderId="0" xfId="0" applyNumberFormat="1" applyFont="1" applyBorder="1"/>
    <xf numFmtId="3" fontId="0" fillId="0" borderId="3" xfId="0" applyNumberFormat="1" applyBorder="1"/>
    <xf numFmtId="3" fontId="0" fillId="0" borderId="4" xfId="0" applyNumberFormat="1" applyBorder="1"/>
    <xf numFmtId="0" fontId="26" fillId="0" borderId="2" xfId="0" applyFont="1" applyFill="1" applyBorder="1"/>
    <xf numFmtId="0" fontId="0" fillId="0" borderId="2" xfId="0" applyFont="1" applyBorder="1"/>
    <xf numFmtId="0" fontId="0" fillId="0" borderId="2" xfId="0" applyFill="1" applyBorder="1"/>
    <xf numFmtId="3" fontId="26" fillId="8" borderId="1" xfId="0" applyNumberFormat="1" applyFont="1" applyFill="1" applyBorder="1"/>
    <xf numFmtId="0" fontId="0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26" fillId="0" borderId="0" xfId="0" applyFont="1" applyProtection="1"/>
    <xf numFmtId="0" fontId="26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 wrapText="1"/>
    </xf>
    <xf numFmtId="0" fontId="3" fillId="0" borderId="27" xfId="0" applyFont="1" applyFill="1" applyBorder="1" applyAlignment="1" applyProtection="1">
      <alignment horizontal="center" vertical="top" wrapText="1"/>
    </xf>
    <xf numFmtId="0" fontId="22" fillId="5" borderId="26" xfId="5" applyFont="1" applyProtection="1">
      <protection locked="0"/>
    </xf>
    <xf numFmtId="3" fontId="22" fillId="5" borderId="26" xfId="2" applyNumberFormat="1" applyFont="1" applyFill="1" applyBorder="1" applyProtection="1">
      <protection locked="0"/>
    </xf>
    <xf numFmtId="164" fontId="22" fillId="5" borderId="26" xfId="2" applyFont="1" applyFill="1" applyBorder="1" applyProtection="1">
      <protection locked="0"/>
    </xf>
    <xf numFmtId="0" fontId="0" fillId="0" borderId="0" xfId="0" applyFont="1" applyFill="1" applyBorder="1"/>
    <xf numFmtId="0" fontId="0" fillId="0" borderId="0" xfId="0" applyFill="1"/>
    <xf numFmtId="1" fontId="0" fillId="0" borderId="1" xfId="0" applyNumberFormat="1" applyBorder="1"/>
    <xf numFmtId="0" fontId="30" fillId="0" borderId="0" xfId="0" applyFont="1" applyFill="1" applyBorder="1"/>
    <xf numFmtId="3" fontId="27" fillId="0" borderId="0" xfId="0" applyNumberFormat="1" applyFont="1" applyFill="1" applyBorder="1"/>
    <xf numFmtId="0" fontId="0" fillId="7" borderId="1" xfId="0" applyFill="1" applyBorder="1"/>
    <xf numFmtId="3" fontId="28" fillId="0" borderId="0" xfId="0" applyNumberFormat="1" applyFont="1" applyFill="1" applyBorder="1"/>
    <xf numFmtId="3" fontId="0" fillId="0" borderId="0" xfId="0" applyNumberFormat="1" applyFill="1"/>
    <xf numFmtId="0" fontId="4" fillId="0" borderId="6" xfId="0" applyFont="1" applyBorder="1" applyAlignment="1">
      <alignment wrapText="1"/>
    </xf>
    <xf numFmtId="0" fontId="4" fillId="6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6" borderId="1" xfId="0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8" xfId="0" applyNumberFormat="1" applyFont="1" applyBorder="1" applyAlignment="1">
      <alignment horizontal="center" wrapText="1"/>
    </xf>
    <xf numFmtId="3" fontId="29" fillId="6" borderId="1" xfId="0" applyNumberFormat="1" applyFont="1" applyFill="1" applyBorder="1"/>
    <xf numFmtId="3" fontId="31" fillId="0" borderId="0" xfId="0" applyNumberFormat="1" applyFont="1" applyFill="1" applyBorder="1"/>
    <xf numFmtId="0" fontId="0" fillId="0" borderId="1" xfId="0" applyFill="1" applyBorder="1"/>
    <xf numFmtId="0" fontId="30" fillId="0" borderId="0" xfId="0" applyFont="1" applyFill="1"/>
    <xf numFmtId="0" fontId="32" fillId="0" borderId="0" xfId="0" applyFont="1"/>
    <xf numFmtId="0" fontId="33" fillId="0" borderId="1" xfId="0" applyFont="1" applyBorder="1"/>
    <xf numFmtId="0" fontId="32" fillId="0" borderId="1" xfId="0" applyFont="1" applyBorder="1"/>
    <xf numFmtId="0" fontId="0" fillId="9" borderId="0" xfId="0" applyFill="1"/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0" fillId="0" borderId="5" xfId="0" applyBorder="1"/>
    <xf numFmtId="0" fontId="0" fillId="9" borderId="5" xfId="0" applyFill="1" applyBorder="1" applyAlignment="1">
      <alignment horizontal="center"/>
    </xf>
    <xf numFmtId="0" fontId="0" fillId="9" borderId="11" xfId="0" applyFill="1" applyBorder="1"/>
    <xf numFmtId="0" fontId="26" fillId="9" borderId="12" xfId="0" applyFont="1" applyFill="1" applyBorder="1" applyAlignment="1">
      <alignment horizontal="center"/>
    </xf>
    <xf numFmtId="0" fontId="26" fillId="9" borderId="11" xfId="0" applyFont="1" applyFill="1" applyBorder="1" applyAlignment="1">
      <alignment horizontal="center"/>
    </xf>
    <xf numFmtId="3" fontId="0" fillId="0" borderId="5" xfId="0" applyNumberFormat="1" applyBorder="1"/>
    <xf numFmtId="0" fontId="0" fillId="9" borderId="5" xfId="0" applyFill="1" applyBorder="1"/>
    <xf numFmtId="0" fontId="0" fillId="0" borderId="1" xfId="0" applyFont="1" applyBorder="1"/>
    <xf numFmtId="0" fontId="33" fillId="0" borderId="0" xfId="0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0" fontId="0" fillId="8" borderId="0" xfId="0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6" borderId="1" xfId="0" applyFill="1" applyBorder="1"/>
    <xf numFmtId="0" fontId="0" fillId="0" borderId="1" xfId="0" applyFont="1" applyBorder="1" applyAlignment="1">
      <alignment wrapText="1"/>
    </xf>
    <xf numFmtId="0" fontId="26" fillId="6" borderId="1" xfId="0" applyFont="1" applyFill="1" applyBorder="1"/>
    <xf numFmtId="3" fontId="4" fillId="0" borderId="12" xfId="0" applyNumberFormat="1" applyFont="1" applyFill="1" applyBorder="1" applyAlignment="1">
      <alignment horizontal="center" wrapText="1"/>
    </xf>
    <xf numFmtId="3" fontId="26" fillId="0" borderId="1" xfId="0" applyNumberFormat="1" applyFont="1" applyFill="1" applyBorder="1"/>
    <xf numFmtId="0" fontId="0" fillId="6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center" wrapText="1"/>
    </xf>
    <xf numFmtId="3" fontId="5" fillId="6" borderId="1" xfId="0" applyNumberFormat="1" applyFont="1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6" borderId="1" xfId="0" applyFill="1" applyBorder="1" applyAlignment="1">
      <alignment vertical="top" wrapText="1"/>
    </xf>
    <xf numFmtId="3" fontId="26" fillId="8" borderId="3" xfId="0" applyNumberFormat="1" applyFont="1" applyFill="1" applyBorder="1"/>
    <xf numFmtId="3" fontId="5" fillId="0" borderId="12" xfId="0" applyNumberFormat="1" applyFont="1" applyFill="1" applyBorder="1" applyAlignment="1">
      <alignment horizontal="center" wrapText="1"/>
    </xf>
    <xf numFmtId="0" fontId="6" fillId="0" borderId="10" xfId="0" applyFont="1" applyBorder="1"/>
    <xf numFmtId="0" fontId="7" fillId="0" borderId="10" xfId="0" applyFont="1" applyBorder="1"/>
    <xf numFmtId="0" fontId="8" fillId="0" borderId="0" xfId="0" applyFont="1" applyFill="1" applyBorder="1" applyAlignment="1"/>
    <xf numFmtId="0" fontId="6" fillId="0" borderId="14" xfId="0" applyFont="1" applyBorder="1" applyAlignment="1">
      <alignment wrapText="1"/>
    </xf>
    <xf numFmtId="0" fontId="30" fillId="0" borderId="1" xfId="3" applyFont="1" applyFill="1" applyBorder="1" applyAlignment="1">
      <alignment wrapText="1"/>
    </xf>
    <xf numFmtId="0" fontId="30" fillId="0" borderId="0" xfId="0" applyFont="1" applyAlignment="1">
      <alignment wrapText="1"/>
    </xf>
    <xf numFmtId="0" fontId="35" fillId="0" borderId="0" xfId="0" applyFont="1"/>
    <xf numFmtId="0" fontId="31" fillId="0" borderId="1" xfId="0" applyFont="1" applyBorder="1" applyAlignment="1">
      <alignment wrapText="1"/>
    </xf>
    <xf numFmtId="0" fontId="35" fillId="0" borderId="1" xfId="0" applyFont="1" applyBorder="1"/>
    <xf numFmtId="3" fontId="35" fillId="0" borderId="1" xfId="0" applyNumberFormat="1" applyFont="1" applyBorder="1"/>
    <xf numFmtId="3" fontId="5" fillId="6" borderId="8" xfId="0" applyNumberFormat="1" applyFont="1" applyFill="1" applyBorder="1" applyAlignment="1">
      <alignment horizontal="center" wrapText="1"/>
    </xf>
    <xf numFmtId="0" fontId="26" fillId="6" borderId="1" xfId="0" applyFont="1" applyFill="1" applyBorder="1" applyAlignment="1">
      <alignment wrapText="1"/>
    </xf>
    <xf numFmtId="3" fontId="37" fillId="0" borderId="0" xfId="0" applyNumberFormat="1" applyFont="1"/>
    <xf numFmtId="9" fontId="0" fillId="0" borderId="0" xfId="0" applyNumberFormat="1"/>
    <xf numFmtId="0" fontId="29" fillId="0" borderId="1" xfId="3" applyFont="1" applyFill="1" applyBorder="1" applyAlignment="1">
      <alignment wrapText="1"/>
    </xf>
    <xf numFmtId="0" fontId="38" fillId="0" borderId="0" xfId="0" applyFont="1" applyAlignment="1">
      <alignment horizontal="left" vertical="center" indent="3"/>
    </xf>
    <xf numFmtId="9" fontId="0" fillId="9" borderId="12" xfId="0" applyNumberFormat="1" applyFill="1" applyBorder="1"/>
    <xf numFmtId="9" fontId="0" fillId="9" borderId="11" xfId="0" applyNumberFormat="1" applyFill="1" applyBorder="1"/>
    <xf numFmtId="0" fontId="33" fillId="0" borderId="1" xfId="0" applyFont="1" applyFill="1" applyBorder="1"/>
    <xf numFmtId="0" fontId="36" fillId="2" borderId="0" xfId="0" applyFont="1" applyFill="1" applyBorder="1" applyAlignment="1">
      <alignment horizontal="center"/>
    </xf>
    <xf numFmtId="0" fontId="17" fillId="0" borderId="0" xfId="0" applyFont="1"/>
    <xf numFmtId="3" fontId="17" fillId="0" borderId="0" xfId="0" applyNumberFormat="1" applyFont="1"/>
    <xf numFmtId="0" fontId="9" fillId="0" borderId="0" xfId="0" applyFont="1" applyAlignment="1">
      <alignment horizontal="left"/>
    </xf>
    <xf numFmtId="0" fontId="10" fillId="3" borderId="1" xfId="0" applyFont="1" applyFill="1" applyBorder="1"/>
    <xf numFmtId="3" fontId="10" fillId="3" borderId="1" xfId="0" applyNumberFormat="1" applyFont="1" applyFill="1" applyBorder="1"/>
    <xf numFmtId="0" fontId="0" fillId="3" borderId="1" xfId="0" applyFill="1" applyBorder="1"/>
    <xf numFmtId="3" fontId="0" fillId="3" borderId="1" xfId="0" applyNumberFormat="1" applyFill="1" applyBorder="1"/>
    <xf numFmtId="9" fontId="0" fillId="3" borderId="1" xfId="0" applyNumberFormat="1" applyFill="1" applyBorder="1"/>
    <xf numFmtId="0" fontId="12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wrapText="1"/>
    </xf>
    <xf numFmtId="0" fontId="13" fillId="2" borderId="1" xfId="0" applyFont="1" applyFill="1" applyBorder="1"/>
    <xf numFmtId="0" fontId="11" fillId="2" borderId="1" xfId="0" applyFont="1" applyFill="1" applyBorder="1"/>
    <xf numFmtId="0" fontId="40" fillId="3" borderId="1" xfId="0" applyFont="1" applyFill="1" applyBorder="1"/>
    <xf numFmtId="3" fontId="40" fillId="3" borderId="1" xfId="0" applyNumberFormat="1" applyFont="1" applyFill="1" applyBorder="1"/>
    <xf numFmtId="0" fontId="40" fillId="0" borderId="0" xfId="0" applyFont="1"/>
    <xf numFmtId="3" fontId="14" fillId="3" borderId="1" xfId="0" applyNumberFormat="1" applyFont="1" applyFill="1" applyBorder="1"/>
    <xf numFmtId="0" fontId="19" fillId="3" borderId="1" xfId="0" applyFont="1" applyFill="1" applyBorder="1"/>
    <xf numFmtId="0" fontId="15" fillId="2" borderId="1" xfId="0" applyFont="1" applyFill="1" applyBorder="1"/>
    <xf numFmtId="3" fontId="15" fillId="3" borderId="1" xfId="0" applyNumberFormat="1" applyFont="1" applyFill="1" applyBorder="1"/>
    <xf numFmtId="0" fontId="20" fillId="0" borderId="0" xfId="0" applyFont="1"/>
    <xf numFmtId="3" fontId="20" fillId="0" borderId="0" xfId="0" applyNumberFormat="1" applyFont="1"/>
    <xf numFmtId="0" fontId="0" fillId="0" borderId="0" xfId="0" applyAlignment="1">
      <alignment horizontal="right"/>
    </xf>
    <xf numFmtId="3" fontId="21" fillId="0" borderId="1" xfId="0" applyNumberFormat="1" applyFont="1" applyBorder="1" applyAlignment="1">
      <alignment horizontal="center" vertical="top" wrapText="1"/>
    </xf>
    <xf numFmtId="0" fontId="30" fillId="10" borderId="3" xfId="0" applyFont="1" applyFill="1" applyBorder="1"/>
    <xf numFmtId="0" fontId="30" fillId="10" borderId="9" xfId="0" applyFont="1" applyFill="1" applyBorder="1"/>
    <xf numFmtId="0" fontId="29" fillId="10" borderId="3" xfId="0" applyFont="1" applyFill="1" applyBorder="1" applyAlignment="1">
      <alignment horizontal="left" vertical="top" wrapText="1"/>
    </xf>
    <xf numFmtId="0" fontId="26" fillId="7" borderId="3" xfId="0" applyFont="1" applyFill="1" applyBorder="1"/>
    <xf numFmtId="0" fontId="26" fillId="7" borderId="9" xfId="0" applyFont="1" applyFill="1" applyBorder="1"/>
    <xf numFmtId="0" fontId="26" fillId="10" borderId="3" xfId="0" applyFont="1" applyFill="1" applyBorder="1" applyAlignment="1">
      <alignment horizontal="left" vertical="top" wrapText="1"/>
    </xf>
    <xf numFmtId="0" fontId="26" fillId="0" borderId="0" xfId="0" applyFont="1" applyFill="1"/>
    <xf numFmtId="0" fontId="26" fillId="0" borderId="0" xfId="0" applyFont="1" applyFill="1" applyBorder="1"/>
    <xf numFmtId="0" fontId="23" fillId="0" borderId="0" xfId="0" applyFont="1"/>
    <xf numFmtId="0" fontId="33" fillId="0" borderId="1" xfId="0" applyFont="1" applyBorder="1" applyAlignment="1"/>
    <xf numFmtId="0" fontId="22" fillId="5" borderId="26" xfId="5" applyFont="1" applyProtection="1">
      <protection locked="0"/>
    </xf>
    <xf numFmtId="3" fontId="33" fillId="0" borderId="1" xfId="0" applyNumberFormat="1" applyFont="1" applyBorder="1"/>
    <xf numFmtId="0" fontId="30" fillId="0" borderId="2" xfId="0" applyFont="1" applyBorder="1"/>
    <xf numFmtId="3" fontId="30" fillId="0" borderId="1" xfId="0" applyNumberFormat="1" applyFont="1" applyBorder="1"/>
    <xf numFmtId="3" fontId="30" fillId="0" borderId="3" xfId="0" applyNumberFormat="1" applyFont="1" applyBorder="1"/>
    <xf numFmtId="0" fontId="30" fillId="0" borderId="0" xfId="0" applyFont="1"/>
    <xf numFmtId="0" fontId="30" fillId="0" borderId="1" xfId="0" applyFont="1" applyBorder="1"/>
    <xf numFmtId="0" fontId="0" fillId="0" borderId="0" xfId="0" applyAlignment="1">
      <alignment wrapText="1"/>
    </xf>
    <xf numFmtId="0" fontId="0" fillId="9" borderId="11" xfId="0" applyFill="1" applyBorder="1" applyAlignment="1">
      <alignment horizontal="center"/>
    </xf>
    <xf numFmtId="3" fontId="27" fillId="3" borderId="1" xfId="0" applyNumberFormat="1" applyFont="1" applyFill="1" applyBorder="1"/>
    <xf numFmtId="0" fontId="0" fillId="0" borderId="0" xfId="0" applyBorder="1"/>
    <xf numFmtId="0" fontId="11" fillId="0" borderId="0" xfId="0" applyFont="1" applyBorder="1"/>
    <xf numFmtId="0" fontId="16" fillId="0" borderId="0" xfId="0" applyFont="1" applyBorder="1"/>
    <xf numFmtId="0" fontId="42" fillId="3" borderId="1" xfId="0" applyFont="1" applyFill="1" applyBorder="1" applyAlignment="1">
      <alignment wrapText="1"/>
    </xf>
    <xf numFmtId="0" fontId="43" fillId="3" borderId="1" xfId="0" applyFont="1" applyFill="1" applyBorder="1" applyAlignment="1">
      <alignment vertical="top" wrapText="1"/>
    </xf>
    <xf numFmtId="0" fontId="43" fillId="2" borderId="1" xfId="0" applyFont="1" applyFill="1" applyBorder="1"/>
    <xf numFmtId="3" fontId="44" fillId="3" borderId="1" xfId="0" applyNumberFormat="1" applyFont="1" applyFill="1" applyBorder="1"/>
    <xf numFmtId="0" fontId="43" fillId="3" borderId="1" xfId="0" applyFont="1" applyFill="1" applyBorder="1" applyAlignment="1">
      <alignment wrapText="1"/>
    </xf>
    <xf numFmtId="0" fontId="43" fillId="2" borderId="11" xfId="0" applyFont="1" applyFill="1" applyBorder="1"/>
    <xf numFmtId="0" fontId="43" fillId="2" borderId="9" xfId="0" applyFont="1" applyFill="1" applyBorder="1"/>
    <xf numFmtId="0" fontId="43" fillId="2" borderId="16" xfId="0" applyFont="1" applyFill="1" applyBorder="1"/>
    <xf numFmtId="3" fontId="45" fillId="3" borderId="1" xfId="0" applyNumberFormat="1" applyFont="1" applyFill="1" applyBorder="1"/>
    <xf numFmtId="0" fontId="42" fillId="3" borderId="1" xfId="0" applyFont="1" applyFill="1" applyBorder="1" applyAlignment="1">
      <alignment vertical="top" wrapText="1"/>
    </xf>
    <xf numFmtId="0" fontId="42" fillId="2" borderId="1" xfId="0" applyFont="1" applyFill="1" applyBorder="1"/>
    <xf numFmtId="3" fontId="46" fillId="3" borderId="1" xfId="0" applyNumberFormat="1" applyFont="1" applyFill="1" applyBorder="1"/>
    <xf numFmtId="0" fontId="44" fillId="0" borderId="0" xfId="0" applyFont="1"/>
    <xf numFmtId="0" fontId="47" fillId="0" borderId="0" xfId="0" applyFont="1"/>
    <xf numFmtId="3" fontId="32" fillId="0" borderId="0" xfId="0" applyNumberFormat="1" applyFont="1"/>
    <xf numFmtId="0" fontId="30" fillId="3" borderId="1" xfId="0" applyFont="1" applyFill="1" applyBorder="1"/>
    <xf numFmtId="0" fontId="12" fillId="3" borderId="1" xfId="0" applyFont="1" applyFill="1" applyBorder="1"/>
    <xf numFmtId="0" fontId="30" fillId="2" borderId="1" xfId="0" applyFont="1" applyFill="1" applyBorder="1"/>
    <xf numFmtId="3" fontId="30" fillId="3" borderId="1" xfId="0" applyNumberFormat="1" applyFont="1" applyFill="1" applyBorder="1"/>
    <xf numFmtId="0" fontId="15" fillId="0" borderId="0" xfId="0" applyFont="1"/>
    <xf numFmtId="0" fontId="12" fillId="0" borderId="0" xfId="0" applyFont="1"/>
    <xf numFmtId="0" fontId="22" fillId="5" borderId="26" xfId="5" applyFont="1" applyAlignment="1" applyProtection="1">
      <alignment horizontal="center"/>
      <protection locked="0"/>
    </xf>
    <xf numFmtId="166" fontId="22" fillId="5" borderId="26" xfId="5" applyNumberFormat="1" applyFont="1" applyAlignment="1" applyProtection="1">
      <alignment horizontal="center"/>
      <protection locked="0"/>
    </xf>
    <xf numFmtId="3" fontId="22" fillId="5" borderId="26" xfId="2" applyNumberFormat="1" applyFont="1" applyFill="1" applyBorder="1" applyAlignment="1" applyProtection="1">
      <alignment horizontal="center"/>
      <protection locked="0"/>
    </xf>
    <xf numFmtId="0" fontId="26" fillId="9" borderId="11" xfId="0" applyFont="1" applyFill="1" applyBorder="1" applyAlignment="1">
      <alignment horizontal="center"/>
    </xf>
    <xf numFmtId="3" fontId="0" fillId="0" borderId="1" xfId="0" applyNumberFormat="1" applyFill="1" applyBorder="1"/>
    <xf numFmtId="0" fontId="29" fillId="10" borderId="0" xfId="0" applyFont="1" applyFill="1" applyBorder="1"/>
    <xf numFmtId="0" fontId="26" fillId="10" borderId="0" xfId="0" applyFont="1" applyFill="1" applyBorder="1"/>
    <xf numFmtId="0" fontId="0" fillId="5" borderId="26" xfId="5" applyFont="1" applyProtection="1">
      <protection locked="0"/>
    </xf>
    <xf numFmtId="0" fontId="30" fillId="0" borderId="1" xfId="0" applyFont="1" applyBorder="1" applyAlignment="1">
      <alignment wrapText="1"/>
    </xf>
    <xf numFmtId="0" fontId="6" fillId="0" borderId="14" xfId="0" applyFont="1" applyBorder="1" applyAlignment="1">
      <alignment vertical="top" wrapText="1"/>
    </xf>
    <xf numFmtId="0" fontId="8" fillId="9" borderId="3" xfId="0" applyFont="1" applyFill="1" applyBorder="1" applyAlignment="1">
      <alignment horizontal="center" vertical="top"/>
    </xf>
    <xf numFmtId="0" fontId="8" fillId="9" borderId="9" xfId="0" applyFont="1" applyFill="1" applyBorder="1" applyAlignment="1">
      <alignment horizontal="center" vertical="top"/>
    </xf>
    <xf numFmtId="0" fontId="8" fillId="9" borderId="4" xfId="0" applyFont="1" applyFill="1" applyBorder="1" applyAlignment="1">
      <alignment horizontal="center" vertical="top"/>
    </xf>
    <xf numFmtId="0" fontId="8" fillId="0" borderId="0" xfId="0" applyFont="1"/>
    <xf numFmtId="0" fontId="4" fillId="0" borderId="6" xfId="0" applyFont="1" applyBorder="1" applyAlignment="1">
      <alignment vertical="top" wrapText="1"/>
    </xf>
    <xf numFmtId="0" fontId="4" fillId="7" borderId="7" xfId="0" applyFont="1" applyFill="1" applyBorder="1" applyAlignment="1">
      <alignment vertical="top" wrapText="1"/>
    </xf>
    <xf numFmtId="0" fontId="4" fillId="7" borderId="7" xfId="0" applyFont="1" applyFill="1" applyBorder="1" applyAlignment="1">
      <alignment horizontal="center" vertical="top" wrapText="1"/>
    </xf>
    <xf numFmtId="3" fontId="5" fillId="6" borderId="8" xfId="0" applyNumberFormat="1" applyFont="1" applyFill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26" fillId="6" borderId="1" xfId="0" applyFont="1" applyFill="1" applyBorder="1" applyAlignment="1">
      <alignment vertical="top" wrapText="1"/>
    </xf>
    <xf numFmtId="3" fontId="30" fillId="6" borderId="1" xfId="0" applyNumberFormat="1" applyFont="1" applyFill="1" applyBorder="1" applyProtection="1">
      <protection locked="0"/>
    </xf>
    <xf numFmtId="3" fontId="0" fillId="6" borderId="1" xfId="0" applyNumberFormat="1" applyFill="1" applyBorder="1" applyProtection="1">
      <protection locked="0"/>
    </xf>
    <xf numFmtId="3" fontId="26" fillId="6" borderId="1" xfId="0" applyNumberFormat="1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27" fillId="6" borderId="1" xfId="0" applyFont="1" applyFill="1" applyBorder="1" applyProtection="1">
      <protection locked="0"/>
    </xf>
    <xf numFmtId="0" fontId="30" fillId="6" borderId="1" xfId="0" applyFont="1" applyFill="1" applyBorder="1" applyProtection="1">
      <protection locked="0"/>
    </xf>
    <xf numFmtId="3" fontId="29" fillId="10" borderId="4" xfId="0" applyNumberFormat="1" applyFont="1" applyFill="1" applyBorder="1" applyProtection="1">
      <protection locked="0"/>
    </xf>
    <xf numFmtId="3" fontId="26" fillId="10" borderId="4" xfId="0" applyNumberFormat="1" applyFont="1" applyFill="1" applyBorder="1" applyProtection="1">
      <protection locked="0"/>
    </xf>
    <xf numFmtId="0" fontId="29" fillId="10" borderId="4" xfId="0" applyFont="1" applyFill="1" applyBorder="1" applyProtection="1">
      <protection locked="0"/>
    </xf>
    <xf numFmtId="0" fontId="26" fillId="10" borderId="13" xfId="0" applyFont="1" applyFill="1" applyBorder="1" applyProtection="1"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0" fontId="30" fillId="2" borderId="1" xfId="0" applyFont="1" applyFill="1" applyBorder="1" applyProtection="1">
      <protection locked="0"/>
    </xf>
    <xf numFmtId="0" fontId="18" fillId="2" borderId="1" xfId="4" applyFont="1" applyFill="1" applyBorder="1" applyAlignment="1" applyProtection="1">
      <alignment horizontal="center" vertical="top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4" fillId="2" borderId="1" xfId="0" applyFont="1" applyFill="1" applyBorder="1" applyProtection="1">
      <protection locked="0"/>
    </xf>
    <xf numFmtId="0" fontId="0" fillId="6" borderId="1" xfId="0" applyFill="1" applyBorder="1" applyAlignment="1">
      <alignment wrapText="1"/>
    </xf>
    <xf numFmtId="0" fontId="30" fillId="0" borderId="1" xfId="0" applyFont="1" applyFill="1" applyBorder="1" applyProtection="1">
      <protection locked="0"/>
    </xf>
    <xf numFmtId="0" fontId="0" fillId="0" borderId="1" xfId="0" applyFill="1" applyBorder="1" applyProtection="1"/>
    <xf numFmtId="0" fontId="26" fillId="0" borderId="0" xfId="0" applyFont="1" applyAlignment="1">
      <alignment wrapText="1"/>
    </xf>
    <xf numFmtId="3" fontId="26" fillId="0" borderId="0" xfId="0" applyNumberFormat="1" applyFont="1" applyAlignment="1">
      <alignment wrapText="1"/>
    </xf>
    <xf numFmtId="165" fontId="26" fillId="0" borderId="1" xfId="1" applyNumberFormat="1" applyFont="1" applyBorder="1"/>
    <xf numFmtId="3" fontId="26" fillId="0" borderId="5" xfId="0" applyNumberFormat="1" applyFont="1" applyFill="1" applyBorder="1"/>
    <xf numFmtId="3" fontId="26" fillId="0" borderId="5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26" fillId="9" borderId="3" xfId="0" applyFont="1" applyFill="1" applyBorder="1" applyAlignment="1">
      <alignment horizontal="center"/>
    </xf>
    <xf numFmtId="0" fontId="26" fillId="9" borderId="9" xfId="0" applyFont="1" applyFill="1" applyBorder="1" applyAlignment="1">
      <alignment horizontal="center"/>
    </xf>
    <xf numFmtId="0" fontId="26" fillId="9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67" fontId="0" fillId="6" borderId="1" xfId="0" applyNumberFormat="1" applyFill="1" applyBorder="1" applyProtection="1">
      <protection locked="0"/>
    </xf>
    <xf numFmtId="3" fontId="29" fillId="10" borderId="4" xfId="0" applyNumberFormat="1" applyFont="1" applyFill="1" applyBorder="1" applyAlignment="1" applyProtection="1">
      <alignment horizontal="right" wrapText="1"/>
      <protection locked="0"/>
    </xf>
    <xf numFmtId="0" fontId="28" fillId="7" borderId="4" xfId="0" applyFont="1" applyFill="1" applyBorder="1" applyProtection="1">
      <protection locked="0"/>
    </xf>
    <xf numFmtId="0" fontId="26" fillId="10" borderId="4" xfId="0" applyFont="1" applyFill="1" applyBorder="1" applyProtection="1">
      <protection locked="0"/>
    </xf>
    <xf numFmtId="0" fontId="29" fillId="7" borderId="4" xfId="0" applyFont="1" applyFill="1" applyBorder="1" applyProtection="1">
      <protection locked="0"/>
    </xf>
    <xf numFmtId="164" fontId="0" fillId="5" borderId="26" xfId="2" applyFont="1" applyFill="1" applyBorder="1" applyProtection="1">
      <protection locked="0"/>
    </xf>
    <xf numFmtId="0" fontId="26" fillId="9" borderId="0" xfId="0" applyFont="1" applyFill="1" applyBorder="1" applyAlignment="1">
      <alignment horizontal="center"/>
    </xf>
    <xf numFmtId="0" fontId="26" fillId="9" borderId="0" xfId="0" applyFont="1" applyFill="1" applyBorder="1" applyAlignment="1">
      <alignment horizontal="center"/>
    </xf>
    <xf numFmtId="0" fontId="29" fillId="10" borderId="13" xfId="0" applyFont="1" applyFill="1" applyBorder="1" applyProtection="1">
      <protection locked="0"/>
    </xf>
    <xf numFmtId="0" fontId="33" fillId="0" borderId="0" xfId="0" applyFont="1" applyAlignment="1">
      <alignment horizontal="center"/>
    </xf>
    <xf numFmtId="0" fontId="26" fillId="10" borderId="3" xfId="0" applyFont="1" applyFill="1" applyBorder="1" applyAlignment="1">
      <alignment wrapText="1"/>
    </xf>
    <xf numFmtId="0" fontId="26" fillId="10" borderId="12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left" vertical="center" wrapText="1"/>
    </xf>
    <xf numFmtId="165" fontId="35" fillId="0" borderId="1" xfId="1" applyNumberFormat="1" applyFont="1" applyBorder="1"/>
    <xf numFmtId="0" fontId="0" fillId="0" borderId="28" xfId="0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Fill="1"/>
    <xf numFmtId="0" fontId="0" fillId="5" borderId="26" xfId="5" applyNumberFormat="1" applyFont="1" applyAlignment="1" applyProtection="1">
      <alignment horizontal="center"/>
      <protection locked="0"/>
    </xf>
    <xf numFmtId="0" fontId="22" fillId="5" borderId="26" xfId="5" applyNumberFormat="1" applyFont="1" applyAlignment="1" applyProtection="1">
      <alignment horizontal="center"/>
      <protection locked="0"/>
    </xf>
    <xf numFmtId="0" fontId="0" fillId="0" borderId="1" xfId="0" applyFont="1" applyBorder="1" applyAlignment="1"/>
    <xf numFmtId="1" fontId="22" fillId="5" borderId="26" xfId="5" applyNumberFormat="1" applyFont="1" applyAlignment="1" applyProtection="1">
      <alignment horizontal="center"/>
      <protection locked="0"/>
    </xf>
    <xf numFmtId="0" fontId="0" fillId="0" borderId="0" xfId="0" quotePrefix="1"/>
    <xf numFmtId="9" fontId="0" fillId="0" borderId="0" xfId="6" applyFont="1"/>
    <xf numFmtId="4" fontId="0" fillId="6" borderId="1" xfId="6" applyNumberFormat="1" applyFont="1" applyFill="1" applyBorder="1" applyProtection="1">
      <protection locked="0"/>
    </xf>
    <xf numFmtId="165" fontId="0" fillId="0" borderId="1" xfId="1" applyNumberFormat="1" applyFont="1" applyBorder="1"/>
    <xf numFmtId="2" fontId="35" fillId="0" borderId="1" xfId="0" applyNumberFormat="1" applyFont="1" applyBorder="1"/>
    <xf numFmtId="0" fontId="26" fillId="9" borderId="11" xfId="0" applyFont="1" applyFill="1" applyBorder="1" applyAlignment="1">
      <alignment horizontal="center"/>
    </xf>
    <xf numFmtId="0" fontId="26" fillId="10" borderId="12" xfId="0" applyFont="1" applyFill="1" applyBorder="1" applyAlignment="1">
      <alignment horizontal="left" vertical="center" wrapText="1"/>
    </xf>
    <xf numFmtId="0" fontId="0" fillId="5" borderId="26" xfId="5" applyFont="1" applyAlignment="1" applyProtection="1">
      <alignment horizontal="center"/>
      <protection locked="0"/>
    </xf>
    <xf numFmtId="165" fontId="22" fillId="5" borderId="26" xfId="1" applyNumberFormat="1" applyFont="1" applyFill="1" applyBorder="1" applyAlignment="1" applyProtection="1">
      <alignment horizontal="center"/>
      <protection locked="0"/>
    </xf>
    <xf numFmtId="0" fontId="26" fillId="9" borderId="11" xfId="0" applyFont="1" applyFill="1" applyBorder="1" applyAlignment="1">
      <alignment horizontal="center"/>
    </xf>
    <xf numFmtId="0" fontId="26" fillId="9" borderId="9" xfId="0" applyFont="1" applyFill="1" applyBorder="1" applyAlignment="1">
      <alignment horizontal="center"/>
    </xf>
    <xf numFmtId="0" fontId="31" fillId="7" borderId="15" xfId="0" applyFont="1" applyFill="1" applyBorder="1"/>
    <xf numFmtId="0" fontId="0" fillId="7" borderId="8" xfId="0" applyFill="1" applyBorder="1"/>
    <xf numFmtId="0" fontId="4" fillId="11" borderId="8" xfId="0" applyFont="1" applyFill="1" applyBorder="1" applyAlignment="1">
      <alignment horizontal="center" wrapText="1"/>
    </xf>
    <xf numFmtId="3" fontId="0" fillId="11" borderId="1" xfId="0" applyNumberFormat="1" applyFill="1" applyBorder="1"/>
    <xf numFmtId="3" fontId="0" fillId="11" borderId="1" xfId="0" applyNumberFormat="1" applyFill="1" applyBorder="1" applyProtection="1">
      <protection locked="0"/>
    </xf>
    <xf numFmtId="3" fontId="30" fillId="11" borderId="1" xfId="0" applyNumberFormat="1" applyFont="1" applyFill="1" applyBorder="1" applyProtection="1">
      <protection locked="0"/>
    </xf>
    <xf numFmtId="3" fontId="27" fillId="11" borderId="1" xfId="0" applyNumberFormat="1" applyFont="1" applyFill="1" applyBorder="1" applyProtection="1">
      <protection locked="0"/>
    </xf>
    <xf numFmtId="0" fontId="0" fillId="11" borderId="1" xfId="0" applyFill="1" applyBorder="1"/>
    <xf numFmtId="0" fontId="4" fillId="12" borderId="8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3" fontId="0" fillId="12" borderId="1" xfId="0" applyNumberFormat="1" applyFill="1" applyBorder="1"/>
    <xf numFmtId="3" fontId="0" fillId="12" borderId="1" xfId="0" applyNumberFormat="1" applyFill="1" applyBorder="1" applyProtection="1">
      <protection locked="0"/>
    </xf>
    <xf numFmtId="0" fontId="0" fillId="12" borderId="1" xfId="0" applyFill="1" applyBorder="1"/>
    <xf numFmtId="3" fontId="0" fillId="12" borderId="3" xfId="0" applyNumberFormat="1" applyFill="1" applyBorder="1" applyProtection="1">
      <protection locked="0"/>
    </xf>
    <xf numFmtId="3" fontId="0" fillId="12" borderId="3" xfId="0" applyNumberFormat="1" applyFill="1" applyBorder="1"/>
    <xf numFmtId="3" fontId="26" fillId="12" borderId="1" xfId="0" applyNumberFormat="1" applyFont="1" applyFill="1" applyBorder="1"/>
    <xf numFmtId="3" fontId="0" fillId="0" borderId="1" xfId="0" applyNumberFormat="1" applyFill="1" applyBorder="1" applyProtection="1">
      <protection locked="0"/>
    </xf>
    <xf numFmtId="3" fontId="30" fillId="0" borderId="1" xfId="0" applyNumberFormat="1" applyFont="1" applyFill="1" applyBorder="1" applyProtection="1">
      <protection locked="0"/>
    </xf>
    <xf numFmtId="3" fontId="26" fillId="0" borderId="1" xfId="0" applyNumberFormat="1" applyFont="1" applyFill="1" applyBorder="1" applyProtection="1">
      <protection locked="0"/>
    </xf>
    <xf numFmtId="0" fontId="26" fillId="0" borderId="1" xfId="0" applyFont="1" applyFill="1" applyBorder="1" applyProtection="1">
      <protection locked="0"/>
    </xf>
    <xf numFmtId="3" fontId="26" fillId="0" borderId="3" xfId="0" applyNumberFormat="1" applyFont="1" applyFill="1" applyBorder="1" applyProtection="1">
      <protection locked="0"/>
    </xf>
    <xf numFmtId="0" fontId="26" fillId="0" borderId="3" xfId="0" applyFont="1" applyFill="1" applyBorder="1" applyProtection="1">
      <protection locked="0"/>
    </xf>
    <xf numFmtId="3" fontId="26" fillId="0" borderId="4" xfId="0" applyNumberFormat="1" applyFont="1" applyFill="1" applyBorder="1"/>
    <xf numFmtId="3" fontId="26" fillId="0" borderId="3" xfId="0" applyNumberFormat="1" applyFont="1" applyFill="1" applyBorder="1"/>
    <xf numFmtId="0" fontId="31" fillId="0" borderId="0" xfId="0" applyFont="1" applyFill="1" applyBorder="1"/>
    <xf numFmtId="0" fontId="26" fillId="0" borderId="4" xfId="0" applyFont="1" applyBorder="1"/>
    <xf numFmtId="0" fontId="0" fillId="0" borderId="4" xfId="0" applyBorder="1"/>
    <xf numFmtId="0" fontId="0" fillId="0" borderId="4" xfId="0" applyFont="1" applyBorder="1"/>
    <xf numFmtId="0" fontId="27" fillId="0" borderId="4" xfId="0" applyFont="1" applyBorder="1"/>
    <xf numFmtId="1" fontId="0" fillId="0" borderId="4" xfId="0" applyNumberFormat="1" applyFont="1" applyBorder="1"/>
    <xf numFmtId="1" fontId="27" fillId="0" borderId="4" xfId="0" applyNumberFormat="1" applyFont="1" applyBorder="1"/>
    <xf numFmtId="3" fontId="0" fillId="0" borderId="4" xfId="0" applyNumberFormat="1" applyFont="1" applyBorder="1"/>
    <xf numFmtId="1" fontId="26" fillId="0" borderId="4" xfId="0" applyNumberFormat="1" applyFont="1" applyFill="1" applyBorder="1"/>
    <xf numFmtId="165" fontId="26" fillId="0" borderId="4" xfId="1" applyNumberFormat="1" applyFont="1" applyFill="1" applyBorder="1"/>
    <xf numFmtId="0" fontId="0" fillId="11" borderId="1" xfId="0" applyFill="1" applyBorder="1" applyProtection="1">
      <protection locked="0"/>
    </xf>
    <xf numFmtId="0" fontId="26" fillId="11" borderId="1" xfId="0" applyFont="1" applyFill="1" applyBorder="1"/>
    <xf numFmtId="0" fontId="0" fillId="0" borderId="1" xfId="0" applyFill="1" applyBorder="1" applyProtection="1">
      <protection locked="0"/>
    </xf>
    <xf numFmtId="0" fontId="0" fillId="12" borderId="1" xfId="0" applyFill="1" applyBorder="1" applyProtection="1">
      <protection locked="0"/>
    </xf>
    <xf numFmtId="3" fontId="30" fillId="12" borderId="1" xfId="0" applyNumberFormat="1" applyFont="1" applyFill="1" applyBorder="1" applyProtection="1">
      <protection locked="0"/>
    </xf>
    <xf numFmtId="0" fontId="26" fillId="12" borderId="1" xfId="0" applyFont="1" applyFill="1" applyBorder="1"/>
    <xf numFmtId="0" fontId="26" fillId="7" borderId="3" xfId="0" applyFont="1" applyFill="1" applyBorder="1" applyAlignment="1">
      <alignment wrapText="1"/>
    </xf>
    <xf numFmtId="0" fontId="26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26" fillId="7" borderId="9" xfId="0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165" fontId="26" fillId="0" borderId="1" xfId="1" applyNumberFormat="1" applyFont="1" applyFill="1" applyBorder="1" applyAlignment="1">
      <alignment wrapText="1"/>
    </xf>
    <xf numFmtId="0" fontId="30" fillId="11" borderId="1" xfId="0" applyFont="1" applyFill="1" applyBorder="1" applyProtection="1">
      <protection locked="0"/>
    </xf>
    <xf numFmtId="0" fontId="30" fillId="12" borderId="1" xfId="0" applyFont="1" applyFill="1" applyBorder="1" applyProtection="1">
      <protection locked="0"/>
    </xf>
    <xf numFmtId="0" fontId="4" fillId="0" borderId="1" xfId="0" applyFont="1" applyFill="1" applyBorder="1" applyAlignment="1">
      <alignment horizontal="center" wrapText="1"/>
    </xf>
    <xf numFmtId="1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left" vertical="top" wrapText="1"/>
    </xf>
    <xf numFmtId="1" fontId="29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 horizontal="right" wrapText="1"/>
      <protection locked="0"/>
    </xf>
    <xf numFmtId="3" fontId="29" fillId="0" borderId="0" xfId="0" applyNumberFormat="1" applyFont="1" applyFill="1" applyBorder="1"/>
    <xf numFmtId="0" fontId="30" fillId="0" borderId="5" xfId="0" applyFont="1" applyFill="1" applyBorder="1"/>
    <xf numFmtId="0" fontId="29" fillId="10" borderId="4" xfId="0" applyFont="1" applyFill="1" applyBorder="1" applyAlignment="1">
      <alignment horizontal="left" vertical="top" wrapText="1"/>
    </xf>
    <xf numFmtId="0" fontId="29" fillId="0" borderId="0" xfId="0" applyFont="1" applyFill="1" applyBorder="1"/>
    <xf numFmtId="3" fontId="29" fillId="0" borderId="0" xfId="0" applyNumberFormat="1" applyFont="1" applyFill="1" applyBorder="1" applyProtection="1">
      <protection locked="0"/>
    </xf>
    <xf numFmtId="0" fontId="31" fillId="0" borderId="15" xfId="0" applyFont="1" applyFill="1" applyBorder="1"/>
    <xf numFmtId="0" fontId="31" fillId="7" borderId="8" xfId="0" applyFont="1" applyFill="1" applyBorder="1"/>
    <xf numFmtId="0" fontId="29" fillId="0" borderId="5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6" fillId="7" borderId="15" xfId="0" applyFont="1" applyFill="1" applyBorder="1" applyAlignment="1">
      <alignment wrapText="1"/>
    </xf>
    <xf numFmtId="0" fontId="26" fillId="7" borderId="8" xfId="0" applyFont="1" applyFill="1" applyBorder="1"/>
    <xf numFmtId="0" fontId="26" fillId="0" borderId="0" xfId="0" applyFont="1" applyFill="1" applyBorder="1" applyAlignment="1">
      <alignment wrapText="1"/>
    </xf>
    <xf numFmtId="0" fontId="35" fillId="7" borderId="15" xfId="0" applyFont="1" applyFill="1" applyBorder="1"/>
    <xf numFmtId="0" fontId="35" fillId="7" borderId="8" xfId="0" applyFont="1" applyFill="1" applyBorder="1"/>
    <xf numFmtId="3" fontId="26" fillId="0" borderId="0" xfId="0" applyNumberFormat="1" applyFont="1" applyFill="1" applyBorder="1" applyProtection="1">
      <protection locked="0"/>
    </xf>
    <xf numFmtId="165" fontId="26" fillId="0" borderId="4" xfId="1" applyNumberFormat="1" applyFont="1" applyBorder="1"/>
    <xf numFmtId="165" fontId="0" fillId="0" borderId="4" xfId="1" applyNumberFormat="1" applyFont="1" applyBorder="1"/>
    <xf numFmtId="165" fontId="26" fillId="0" borderId="4" xfId="0" applyNumberFormat="1" applyFont="1" applyFill="1" applyBorder="1"/>
    <xf numFmtId="0" fontId="35" fillId="0" borderId="0" xfId="0" applyFont="1" applyFill="1" applyBorder="1"/>
    <xf numFmtId="3" fontId="30" fillId="11" borderId="1" xfId="0" applyNumberFormat="1" applyFont="1" applyFill="1" applyBorder="1"/>
    <xf numFmtId="3" fontId="30" fillId="0" borderId="1" xfId="0" applyNumberFormat="1" applyFont="1" applyFill="1" applyBorder="1"/>
    <xf numFmtId="3" fontId="30" fillId="12" borderId="1" xfId="0" applyNumberFormat="1" applyFont="1" applyFill="1" applyBorder="1"/>
    <xf numFmtId="0" fontId="36" fillId="0" borderId="25" xfId="0" applyFont="1" applyFill="1" applyBorder="1" applyAlignment="1">
      <alignment wrapText="1"/>
    </xf>
    <xf numFmtId="0" fontId="0" fillId="7" borderId="15" xfId="0" applyFill="1" applyBorder="1" applyAlignment="1">
      <alignment wrapText="1"/>
    </xf>
    <xf numFmtId="3" fontId="30" fillId="7" borderId="8" xfId="0" applyNumberFormat="1" applyFont="1" applyFill="1" applyBorder="1" applyProtection="1">
      <protection locked="0"/>
    </xf>
    <xf numFmtId="0" fontId="41" fillId="0" borderId="1" xfId="0" applyFont="1" applyFill="1" applyBorder="1"/>
    <xf numFmtId="0" fontId="32" fillId="13" borderId="3" xfId="0" applyFont="1" applyFill="1" applyBorder="1"/>
    <xf numFmtId="0" fontId="32" fillId="13" borderId="4" xfId="0" applyFont="1" applyFill="1" applyBorder="1"/>
    <xf numFmtId="0" fontId="32" fillId="13" borderId="1" xfId="0" applyFont="1" applyFill="1" applyBorder="1" applyAlignment="1">
      <alignment horizontal="left" wrapText="1"/>
    </xf>
    <xf numFmtId="0" fontId="32" fillId="13" borderId="1" xfId="0" applyFont="1" applyFill="1" applyBorder="1" applyAlignment="1">
      <alignment horizontal="center" wrapText="1"/>
    </xf>
    <xf numFmtId="3" fontId="34" fillId="13" borderId="1" xfId="0" applyNumberFormat="1" applyFont="1" applyFill="1" applyBorder="1"/>
    <xf numFmtId="3" fontId="32" fillId="13" borderId="1" xfId="0" applyNumberFormat="1" applyFont="1" applyFill="1" applyBorder="1"/>
    <xf numFmtId="0" fontId="32" fillId="13" borderId="0" xfId="0" applyFont="1" applyFill="1"/>
    <xf numFmtId="3" fontId="34" fillId="13" borderId="1" xfId="0" applyNumberFormat="1" applyFont="1" applyFill="1" applyBorder="1" applyProtection="1">
      <protection locked="0"/>
    </xf>
    <xf numFmtId="3" fontId="39" fillId="13" borderId="1" xfId="0" applyNumberFormat="1" applyFont="1" applyFill="1" applyBorder="1"/>
    <xf numFmtId="0" fontId="33" fillId="13" borderId="1" xfId="0" applyFont="1" applyFill="1" applyBorder="1"/>
    <xf numFmtId="3" fontId="33" fillId="13" borderId="1" xfId="0" applyNumberFormat="1" applyFont="1" applyFill="1" applyBorder="1"/>
    <xf numFmtId="0" fontId="32" fillId="8" borderId="1" xfId="0" applyFont="1" applyFill="1" applyBorder="1" applyAlignment="1">
      <alignment wrapText="1"/>
    </xf>
    <xf numFmtId="3" fontId="32" fillId="8" borderId="1" xfId="0" applyNumberFormat="1" applyFont="1" applyFill="1" applyBorder="1"/>
    <xf numFmtId="0" fontId="32" fillId="8" borderId="1" xfId="0" applyFont="1" applyFill="1" applyBorder="1"/>
    <xf numFmtId="0" fontId="53" fillId="8" borderId="1" xfId="0" applyFont="1" applyFill="1" applyBorder="1"/>
    <xf numFmtId="3" fontId="53" fillId="8" borderId="1" xfId="0" applyNumberFormat="1" applyFont="1" applyFill="1" applyBorder="1"/>
    <xf numFmtId="3" fontId="33" fillId="8" borderId="1" xfId="0" applyNumberFormat="1" applyFont="1" applyFill="1" applyBorder="1"/>
    <xf numFmtId="165" fontId="0" fillId="0" borderId="1" xfId="1" applyNumberFormat="1" applyFont="1" applyBorder="1" applyAlignment="1">
      <alignment wrapText="1"/>
    </xf>
    <xf numFmtId="165" fontId="26" fillId="0" borderId="1" xfId="1" applyNumberFormat="1" applyFont="1" applyBorder="1" applyAlignment="1">
      <alignment wrapText="1"/>
    </xf>
    <xf numFmtId="0" fontId="50" fillId="13" borderId="4" xfId="0" applyFont="1" applyFill="1" applyBorder="1" applyAlignment="1">
      <alignment horizontal="center"/>
    </xf>
    <xf numFmtId="0" fontId="51" fillId="13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33" fillId="0" borderId="0" xfId="0" applyFont="1" applyAlignment="1">
      <alignment horizontal="center"/>
    </xf>
    <xf numFmtId="0" fontId="0" fillId="8" borderId="0" xfId="0" applyFill="1" applyBorder="1" applyAlignment="1">
      <alignment horizontal="center"/>
    </xf>
    <xf numFmtId="0" fontId="36" fillId="2" borderId="20" xfId="0" applyFont="1" applyFill="1" applyBorder="1" applyAlignment="1">
      <alignment horizontal="center"/>
    </xf>
    <xf numFmtId="0" fontId="36" fillId="2" borderId="21" xfId="0" applyFont="1" applyFill="1" applyBorder="1" applyAlignment="1">
      <alignment horizontal="center"/>
    </xf>
    <xf numFmtId="0" fontId="36" fillId="2" borderId="22" xfId="0" applyFont="1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26" fillId="9" borderId="17" xfId="0" applyFont="1" applyFill="1" applyBorder="1" applyAlignment="1">
      <alignment horizontal="center"/>
    </xf>
    <xf numFmtId="0" fontId="26" fillId="9" borderId="16" xfId="0" applyFont="1" applyFill="1" applyBorder="1" applyAlignment="1">
      <alignment horizontal="center"/>
    </xf>
    <xf numFmtId="0" fontId="26" fillId="9" borderId="25" xfId="0" applyFont="1" applyFill="1" applyBorder="1" applyAlignment="1">
      <alignment horizontal="center"/>
    </xf>
    <xf numFmtId="0" fontId="26" fillId="9" borderId="12" xfId="0" applyFont="1" applyFill="1" applyBorder="1" applyAlignment="1">
      <alignment horizontal="center"/>
    </xf>
    <xf numFmtId="0" fontId="26" fillId="9" borderId="11" xfId="0" applyFont="1" applyFill="1" applyBorder="1" applyAlignment="1">
      <alignment horizontal="center"/>
    </xf>
    <xf numFmtId="0" fontId="26" fillId="9" borderId="13" xfId="0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6" fillId="9" borderId="5" xfId="0" applyFont="1" applyFill="1" applyBorder="1" applyAlignment="1">
      <alignment horizontal="center"/>
    </xf>
    <xf numFmtId="0" fontId="26" fillId="9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26" fillId="9" borderId="9" xfId="0" applyFont="1" applyFill="1" applyBorder="1" applyAlignment="1">
      <alignment horizontal="center"/>
    </xf>
    <xf numFmtId="0" fontId="26" fillId="9" borderId="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0" fontId="50" fillId="13" borderId="3" xfId="0" applyFont="1" applyFill="1" applyBorder="1" applyAlignment="1">
      <alignment horizontal="center"/>
    </xf>
    <xf numFmtId="0" fontId="50" fillId="13" borderId="9" xfId="0" applyFont="1" applyFill="1" applyBorder="1" applyAlignment="1">
      <alignment horizontal="center"/>
    </xf>
    <xf numFmtId="0" fontId="50" fillId="13" borderId="4" xfId="0" applyFont="1" applyFill="1" applyBorder="1" applyAlignment="1">
      <alignment horizontal="center"/>
    </xf>
    <xf numFmtId="0" fontId="51" fillId="13" borderId="1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32" fillId="13" borderId="3" xfId="0" applyFont="1" applyFill="1" applyBorder="1" applyAlignment="1">
      <alignment horizontal="center"/>
    </xf>
    <xf numFmtId="0" fontId="32" fillId="13" borderId="9" xfId="0" applyFont="1" applyFill="1" applyBorder="1" applyAlignment="1">
      <alignment horizontal="center"/>
    </xf>
    <xf numFmtId="0" fontId="32" fillId="13" borderId="4" xfId="0" applyFont="1" applyFill="1" applyBorder="1" applyAlignment="1">
      <alignment horizontal="center"/>
    </xf>
    <xf numFmtId="0" fontId="50" fillId="8" borderId="3" xfId="0" applyFont="1" applyFill="1" applyBorder="1" applyAlignment="1">
      <alignment horizontal="center"/>
    </xf>
    <xf numFmtId="0" fontId="50" fillId="8" borderId="4" xfId="0" applyFont="1" applyFill="1" applyBorder="1" applyAlignment="1">
      <alignment horizontal="center"/>
    </xf>
    <xf numFmtId="0" fontId="51" fillId="8" borderId="3" xfId="0" applyFont="1" applyFill="1" applyBorder="1" applyAlignment="1">
      <alignment horizontal="center"/>
    </xf>
    <xf numFmtId="0" fontId="51" fillId="8" borderId="4" xfId="0" applyFont="1" applyFill="1" applyBorder="1" applyAlignment="1">
      <alignment horizontal="center"/>
    </xf>
    <xf numFmtId="3" fontId="26" fillId="0" borderId="11" xfId="0" applyNumberFormat="1" applyFont="1" applyBorder="1" applyAlignment="1" applyProtection="1">
      <alignment horizontal="center"/>
    </xf>
  </cellXfs>
  <cellStyles count="7">
    <cellStyle name="Comma 6" xfId="2"/>
    <cellStyle name="God" xfId="3" builtinId="26"/>
    <cellStyle name="Hyperkobling" xfId="4" builtinId="8"/>
    <cellStyle name="Komma" xfId="1" builtinId="3"/>
    <cellStyle name="Merknad" xfId="5" builtinId="10"/>
    <cellStyle name="Normal" xfId="0" builtinId="0"/>
    <cellStyle name="Prosent" xfId="6" builtinId="5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Sum undervisnings timer 2023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'Oppsummering '!$N$3</c:f>
              <c:strCache>
                <c:ptCount val="1"/>
                <c:pt idx="0">
                  <c:v>Sum timer 2023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29-48DA-8DF4-51FCB5C834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629-48DA-8DF4-51FCB5C834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629-48DA-8DF4-51FCB5C8341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629-48DA-8DF4-51FCB5C8341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629-48DA-8DF4-51FCB5C834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'Oppsummering '!$A$4:$A$8</c:f>
              <c:strCache>
                <c:ptCount val="5"/>
                <c:pt idx="0">
                  <c:v>1. studieår*</c:v>
                </c:pt>
                <c:pt idx="1">
                  <c:v>2. studieår</c:v>
                </c:pt>
                <c:pt idx="2">
                  <c:v>3. studieår</c:v>
                </c:pt>
                <c:pt idx="3">
                  <c:v>4. studieår</c:v>
                </c:pt>
                <c:pt idx="4">
                  <c:v>Valgemner</c:v>
                </c:pt>
              </c:strCache>
            </c:strRef>
          </c:cat>
          <c:val>
            <c:numRef>
              <c:f>'Oppsummering '!$N$4:$N$8</c:f>
              <c:numCache>
                <c:formatCode>#,##0</c:formatCode>
                <c:ptCount val="5"/>
                <c:pt idx="0">
                  <c:v>4908</c:v>
                </c:pt>
                <c:pt idx="1">
                  <c:v>1787.3999999999999</c:v>
                </c:pt>
                <c:pt idx="2">
                  <c:v>1479.7440000000001</c:v>
                </c:pt>
                <c:pt idx="3">
                  <c:v>1431.3600000000004</c:v>
                </c:pt>
                <c:pt idx="4">
                  <c:v>1620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29-48DA-8DF4-51FCB5C83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800" b="1"/>
              <a:t>Undervisningskostnad 2023 og 2022</a:t>
            </a:r>
          </a:p>
          <a:p>
            <a:pPr>
              <a:defRPr/>
            </a:pPr>
            <a:endParaRPr lang="nb-N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'Oppsummering '!$F$2:$I$2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'Oppsummering '!$A$4:$A$8</c:f>
              <c:strCache>
                <c:ptCount val="5"/>
                <c:pt idx="0">
                  <c:v>1. studieår*</c:v>
                </c:pt>
                <c:pt idx="1">
                  <c:v>2. studieår</c:v>
                </c:pt>
                <c:pt idx="2">
                  <c:v>3. studieår</c:v>
                </c:pt>
                <c:pt idx="3">
                  <c:v>4. studieår</c:v>
                </c:pt>
                <c:pt idx="4">
                  <c:v>Valgemner</c:v>
                </c:pt>
              </c:strCache>
            </c:strRef>
          </c:cat>
          <c:val>
            <c:numRef>
              <c:f>'Oppsummering '!$H$4:$H$8</c:f>
              <c:numCache>
                <c:formatCode>#,##0</c:formatCode>
                <c:ptCount val="5"/>
                <c:pt idx="0">
                  <c:v>6615261.568</c:v>
                </c:pt>
                <c:pt idx="1">
                  <c:v>4468500</c:v>
                </c:pt>
                <c:pt idx="2">
                  <c:v>3699360</c:v>
                </c:pt>
                <c:pt idx="3">
                  <c:v>3630900</c:v>
                </c:pt>
                <c:pt idx="4">
                  <c:v>3050000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8-4598-B806-151C049881D2}"/>
            </c:ext>
          </c:extLst>
        </c:ser>
        <c:ser>
          <c:idx val="1"/>
          <c:order val="1"/>
          <c:tx>
            <c:strRef>
              <c:f>'Oppsummering '!$K$2:$L$2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'Oppsummering '!$A$4:$A$8</c:f>
              <c:strCache>
                <c:ptCount val="5"/>
                <c:pt idx="0">
                  <c:v>1. studieår*</c:v>
                </c:pt>
                <c:pt idx="1">
                  <c:v>2. studieår</c:v>
                </c:pt>
                <c:pt idx="2">
                  <c:v>3. studieår</c:v>
                </c:pt>
                <c:pt idx="3">
                  <c:v>4. studieår</c:v>
                </c:pt>
                <c:pt idx="4">
                  <c:v>Valgemner</c:v>
                </c:pt>
              </c:strCache>
            </c:strRef>
          </c:cat>
          <c:val>
            <c:numRef>
              <c:f>'Oppsummering '!$K$4:$K$8</c:f>
              <c:numCache>
                <c:formatCode>#,##0</c:formatCode>
                <c:ptCount val="5"/>
                <c:pt idx="0">
                  <c:v>5804393.6320000002</c:v>
                </c:pt>
                <c:pt idx="1">
                  <c:v>4042860</c:v>
                </c:pt>
                <c:pt idx="2">
                  <c:v>3642100</c:v>
                </c:pt>
                <c:pt idx="3">
                  <c:v>2967760</c:v>
                </c:pt>
                <c:pt idx="4">
                  <c:v>2373600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58-4598-B806-151C04988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642408"/>
        <c:axId val="255642736"/>
      </c:barChart>
      <c:catAx>
        <c:axId val="25564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55642736"/>
        <c:crosses val="autoZero"/>
        <c:auto val="1"/>
        <c:lblAlgn val="ctr"/>
        <c:lblOffset val="100"/>
        <c:noMultiLvlLbl val="0"/>
      </c:catAx>
      <c:valAx>
        <c:axId val="25564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55642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800" b="1"/>
              <a:t>Sensurkostnad 2023 og 2022</a:t>
            </a:r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'Oppsummering '!$A$4:$A$8</c:f>
              <c:strCache>
                <c:ptCount val="5"/>
                <c:pt idx="0">
                  <c:v>1. studieår*</c:v>
                </c:pt>
                <c:pt idx="1">
                  <c:v>2. studieår</c:v>
                </c:pt>
                <c:pt idx="2">
                  <c:v>3. studieår</c:v>
                </c:pt>
                <c:pt idx="3">
                  <c:v>4. studieår</c:v>
                </c:pt>
                <c:pt idx="4">
                  <c:v>Valgemner</c:v>
                </c:pt>
              </c:strCache>
            </c:strRef>
          </c:cat>
          <c:val>
            <c:numRef>
              <c:f>'Oppsummering '!$B$4:$B$8</c:f>
              <c:numCache>
                <c:formatCode>#,##0</c:formatCode>
                <c:ptCount val="5"/>
                <c:pt idx="0">
                  <c:v>586740</c:v>
                </c:pt>
                <c:pt idx="1">
                  <c:v>1173060</c:v>
                </c:pt>
                <c:pt idx="2">
                  <c:v>1383200</c:v>
                </c:pt>
                <c:pt idx="3">
                  <c:v>1231580</c:v>
                </c:pt>
                <c:pt idx="4">
                  <c:v>3075900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C-4A01-A14F-F676B9143E73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'Oppsummering '!$A$4:$A$8</c:f>
              <c:strCache>
                <c:ptCount val="5"/>
                <c:pt idx="0">
                  <c:v>1. studieår*</c:v>
                </c:pt>
                <c:pt idx="1">
                  <c:v>2. studieår</c:v>
                </c:pt>
                <c:pt idx="2">
                  <c:v>3. studieår</c:v>
                </c:pt>
                <c:pt idx="3">
                  <c:v>4. studieår</c:v>
                </c:pt>
                <c:pt idx="4">
                  <c:v>Valgemner</c:v>
                </c:pt>
              </c:strCache>
            </c:strRef>
          </c:cat>
          <c:val>
            <c:numRef>
              <c:f>'Oppsummering '!$D$4:$D$8</c:f>
              <c:numCache>
                <c:formatCode>#,##0</c:formatCode>
                <c:ptCount val="5"/>
                <c:pt idx="0">
                  <c:v>521360</c:v>
                </c:pt>
                <c:pt idx="1">
                  <c:v>1209040</c:v>
                </c:pt>
                <c:pt idx="2">
                  <c:v>1327800</c:v>
                </c:pt>
                <c:pt idx="3">
                  <c:v>1077240</c:v>
                </c:pt>
                <c:pt idx="4">
                  <c:v>2472300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3C-4A01-A14F-F676B9143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642408"/>
        <c:axId val="255642736"/>
      </c:barChart>
      <c:catAx>
        <c:axId val="25564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55642736"/>
        <c:crosses val="autoZero"/>
        <c:auto val="1"/>
        <c:lblAlgn val="ctr"/>
        <c:lblOffset val="100"/>
        <c:noMultiLvlLbl val="0"/>
      </c:catAx>
      <c:valAx>
        <c:axId val="25564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55642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800" b="1"/>
              <a:t>Total</a:t>
            </a:r>
          </a:p>
          <a:p>
            <a:pPr>
              <a:defRPr/>
            </a:pPr>
            <a:r>
              <a:rPr lang="nb-NO" sz="1800" b="1"/>
              <a:t>kostnad 2023 og 2022</a:t>
            </a:r>
          </a:p>
          <a:p>
            <a:pPr>
              <a:defRPr/>
            </a:pPr>
            <a:endParaRPr lang="nb-N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'Oppsummering '!$P$2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'Oppsummering '!$A$4:$A$8</c:f>
              <c:strCache>
                <c:ptCount val="5"/>
                <c:pt idx="0">
                  <c:v>1. studieår*</c:v>
                </c:pt>
                <c:pt idx="1">
                  <c:v>2. studieår</c:v>
                </c:pt>
                <c:pt idx="2">
                  <c:v>3. studieår</c:v>
                </c:pt>
                <c:pt idx="3">
                  <c:v>4. studieår</c:v>
                </c:pt>
                <c:pt idx="4">
                  <c:v>Valgemner</c:v>
                </c:pt>
              </c:strCache>
            </c:strRef>
          </c:cat>
          <c:val>
            <c:numRef>
              <c:f>'Oppsummering '!$P$4:$P$8</c:f>
              <c:numCache>
                <c:formatCode>#,##0</c:formatCode>
                <c:ptCount val="5"/>
                <c:pt idx="0">
                  <c:v>7202001.568</c:v>
                </c:pt>
                <c:pt idx="1">
                  <c:v>5641560</c:v>
                </c:pt>
                <c:pt idx="2">
                  <c:v>5082560</c:v>
                </c:pt>
                <c:pt idx="3">
                  <c:v>4862480</c:v>
                </c:pt>
                <c:pt idx="4">
                  <c:v>6125900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B-4FE9-9B21-CB6E7326B24D}"/>
            </c:ext>
          </c:extLst>
        </c:ser>
        <c:ser>
          <c:idx val="1"/>
          <c:order val="1"/>
          <c:tx>
            <c:strRef>
              <c:f>'Oppsummering '!$Q$2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'Oppsummering '!$A$4:$A$8</c:f>
              <c:strCache>
                <c:ptCount val="5"/>
                <c:pt idx="0">
                  <c:v>1. studieår*</c:v>
                </c:pt>
                <c:pt idx="1">
                  <c:v>2. studieår</c:v>
                </c:pt>
                <c:pt idx="2">
                  <c:v>3. studieår</c:v>
                </c:pt>
                <c:pt idx="3">
                  <c:v>4. studieår</c:v>
                </c:pt>
                <c:pt idx="4">
                  <c:v>Valgemner</c:v>
                </c:pt>
              </c:strCache>
            </c:strRef>
          </c:cat>
          <c:val>
            <c:numRef>
              <c:f>'Oppsummering '!$Q$4:$Q$8</c:f>
              <c:numCache>
                <c:formatCode>#,##0</c:formatCode>
                <c:ptCount val="5"/>
                <c:pt idx="0">
                  <c:v>6325753.6320000002</c:v>
                </c:pt>
                <c:pt idx="1">
                  <c:v>5251900</c:v>
                </c:pt>
                <c:pt idx="2">
                  <c:v>4969900</c:v>
                </c:pt>
                <c:pt idx="3">
                  <c:v>4045000</c:v>
                </c:pt>
                <c:pt idx="4">
                  <c:v>4845900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5B-4FE9-9B21-CB6E7326B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642408"/>
        <c:axId val="255642736"/>
      </c:barChart>
      <c:catAx>
        <c:axId val="25564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55642736"/>
        <c:crosses val="autoZero"/>
        <c:auto val="1"/>
        <c:lblAlgn val="ctr"/>
        <c:lblOffset val="100"/>
        <c:noMultiLvlLbl val="0"/>
      </c:catAx>
      <c:valAx>
        <c:axId val="25564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55642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Sum sensurkostnad 2023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'Oppsummering '!$B$3</c:f>
              <c:strCache>
                <c:ptCount val="1"/>
                <c:pt idx="0">
                  <c:v>Sensur kostnad kr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945-4AAF-9F54-7E8D0451E9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945-4AAF-9F54-7E8D0451E98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945-4AAF-9F54-7E8D0451E98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945-4AAF-9F54-7E8D0451E98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945-4AAF-9F54-7E8D0451E9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'Oppsummering '!$A$4:$A$8</c:f>
              <c:strCache>
                <c:ptCount val="5"/>
                <c:pt idx="0">
                  <c:v>1. studieår*</c:v>
                </c:pt>
                <c:pt idx="1">
                  <c:v>2. studieår</c:v>
                </c:pt>
                <c:pt idx="2">
                  <c:v>3. studieår</c:v>
                </c:pt>
                <c:pt idx="3">
                  <c:v>4. studieår</c:v>
                </c:pt>
                <c:pt idx="4">
                  <c:v>Valgemner</c:v>
                </c:pt>
              </c:strCache>
            </c:strRef>
          </c:cat>
          <c:val>
            <c:numRef>
              <c:f>'Oppsummering '!$B$4:$B$8</c:f>
              <c:numCache>
                <c:formatCode>#,##0</c:formatCode>
                <c:ptCount val="5"/>
                <c:pt idx="0">
                  <c:v>586740</c:v>
                </c:pt>
                <c:pt idx="1">
                  <c:v>1173060</c:v>
                </c:pt>
                <c:pt idx="2">
                  <c:v>1383200</c:v>
                </c:pt>
                <c:pt idx="3">
                  <c:v>1231580</c:v>
                </c:pt>
                <c:pt idx="4">
                  <c:v>3075900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45-4AAF-9F54-7E8D0451E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25</xdr:row>
      <xdr:rowOff>152400</xdr:rowOff>
    </xdr:from>
    <xdr:to>
      <xdr:col>2</xdr:col>
      <xdr:colOff>353786</xdr:colOff>
      <xdr:row>40</xdr:row>
      <xdr:rowOff>38100</xdr:rowOff>
    </xdr:to>
    <xdr:graphicFrame macro="">
      <xdr:nvGraphicFramePr>
        <xdr:cNvPr id="7464" name="Chart 1">
          <a:extLst>
            <a:ext uri="{FF2B5EF4-FFF2-40B4-BE49-F238E27FC236}">
              <a16:creationId xmlns:a16="http://schemas.microsoft.com/office/drawing/2014/main" id="{00000000-0008-0000-0600-000028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136072</xdr:colOff>
      <xdr:row>25</xdr:row>
      <xdr:rowOff>176893</xdr:rowOff>
    </xdr:from>
    <xdr:to>
      <xdr:col>6</xdr:col>
      <xdr:colOff>870857</xdr:colOff>
      <xdr:row>40</xdr:row>
      <xdr:rowOff>34016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149679</xdr:colOff>
      <xdr:row>40</xdr:row>
      <xdr:rowOff>204107</xdr:rowOff>
    </xdr:from>
    <xdr:to>
      <xdr:col>6</xdr:col>
      <xdr:colOff>854699</xdr:colOff>
      <xdr:row>55</xdr:row>
      <xdr:rowOff>61230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1197429</xdr:colOff>
      <xdr:row>33</xdr:row>
      <xdr:rowOff>40821</xdr:rowOff>
    </xdr:from>
    <xdr:to>
      <xdr:col>14</xdr:col>
      <xdr:colOff>1006928</xdr:colOff>
      <xdr:row>51</xdr:row>
      <xdr:rowOff>81642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40</xdr:row>
      <xdr:rowOff>244929</xdr:rowOff>
    </xdr:from>
    <xdr:to>
      <xdr:col>2</xdr:col>
      <xdr:colOff>363311</xdr:colOff>
      <xdr:row>55</xdr:row>
      <xdr:rowOff>130629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sjett%20eksamen2023,%20nye%20sats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/Budsjett%20eksamen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udsjett_2022_1_5&#229;r_for-undervisningsplanlegge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Kontering"/>
    </sheetNames>
    <sheetDataSet>
      <sheetData sheetId="0">
        <row r="6">
          <cell r="K6">
            <v>139860</v>
          </cell>
          <cell r="M6">
            <v>97902</v>
          </cell>
        </row>
        <row r="7">
          <cell r="K7">
            <v>446880</v>
          </cell>
          <cell r="M7">
            <v>357504</v>
          </cell>
        </row>
        <row r="8">
          <cell r="K8">
            <v>446880</v>
          </cell>
          <cell r="M8">
            <v>357504</v>
          </cell>
        </row>
        <row r="9">
          <cell r="K9">
            <v>446880</v>
          </cell>
          <cell r="M9">
            <v>357504</v>
          </cell>
        </row>
        <row r="10">
          <cell r="K10">
            <v>279300</v>
          </cell>
          <cell r="M10">
            <v>251370</v>
          </cell>
        </row>
        <row r="11">
          <cell r="K11">
            <v>489440</v>
          </cell>
          <cell r="M11">
            <v>416024</v>
          </cell>
        </row>
        <row r="12">
          <cell r="K12">
            <v>500080</v>
          </cell>
          <cell r="M12">
            <v>425068</v>
          </cell>
        </row>
        <row r="13">
          <cell r="K13">
            <v>393680</v>
          </cell>
          <cell r="M13">
            <v>334628</v>
          </cell>
        </row>
        <row r="14">
          <cell r="K14">
            <v>391020</v>
          </cell>
          <cell r="M14">
            <v>371469</v>
          </cell>
        </row>
        <row r="15">
          <cell r="K15">
            <v>521360</v>
          </cell>
          <cell r="M15">
            <v>469224</v>
          </cell>
        </row>
        <row r="16">
          <cell r="K16">
            <v>319200</v>
          </cell>
          <cell r="M16">
            <v>127680</v>
          </cell>
        </row>
        <row r="17">
          <cell r="K17">
            <v>1908200</v>
          </cell>
          <cell r="M17">
            <v>1240330</v>
          </cell>
        </row>
        <row r="18">
          <cell r="K18">
            <v>408880</v>
          </cell>
          <cell r="M18">
            <v>204440</v>
          </cell>
        </row>
        <row r="19">
          <cell r="K19">
            <v>1077300</v>
          </cell>
          <cell r="M19">
            <v>861840</v>
          </cell>
        </row>
        <row r="20">
          <cell r="K20">
            <v>1488000</v>
          </cell>
          <cell r="M20">
            <v>1190400</v>
          </cell>
        </row>
        <row r="21">
          <cell r="K21">
            <v>510600</v>
          </cell>
          <cell r="M21">
            <v>357420</v>
          </cell>
        </row>
        <row r="22">
          <cell r="K22">
            <v>319200</v>
          </cell>
          <cell r="M22">
            <v>255360</v>
          </cell>
        </row>
        <row r="23">
          <cell r="K23">
            <v>58100</v>
          </cell>
          <cell r="M23">
            <v>23240</v>
          </cell>
        </row>
        <row r="24">
          <cell r="K24">
            <v>540000</v>
          </cell>
          <cell r="M24">
            <v>351000</v>
          </cell>
        </row>
        <row r="25">
          <cell r="K25">
            <v>163520</v>
          </cell>
          <cell r="M25">
            <v>114464</v>
          </cell>
        </row>
        <row r="26">
          <cell r="K26">
            <v>846000</v>
          </cell>
          <cell r="M26">
            <v>592200</v>
          </cell>
        </row>
        <row r="27">
          <cell r="K27">
            <v>352000</v>
          </cell>
          <cell r="M27">
            <v>281600</v>
          </cell>
        </row>
        <row r="28">
          <cell r="K28">
            <v>1566000</v>
          </cell>
          <cell r="M28">
            <v>1409400</v>
          </cell>
        </row>
        <row r="29">
          <cell r="K29">
            <v>135660</v>
          </cell>
          <cell r="M29">
            <v>122094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Buddy"/>
    </sheetNames>
    <sheetDataSet>
      <sheetData sheetId="0">
        <row r="6">
          <cell r="K6">
            <v>112000</v>
          </cell>
          <cell r="M6">
            <v>78400</v>
          </cell>
        </row>
        <row r="7">
          <cell r="K7">
            <v>409360</v>
          </cell>
          <cell r="M7">
            <v>327488</v>
          </cell>
        </row>
        <row r="8">
          <cell r="K8">
            <v>447440</v>
          </cell>
          <cell r="M8">
            <v>357952</v>
          </cell>
        </row>
        <row r="9">
          <cell r="K9">
            <v>0</v>
          </cell>
          <cell r="M9">
            <v>0</v>
          </cell>
        </row>
        <row r="10">
          <cell r="K10">
            <v>428400</v>
          </cell>
          <cell r="M10">
            <v>342720</v>
          </cell>
        </row>
        <row r="11">
          <cell r="K11">
            <v>333200</v>
          </cell>
          <cell r="M11">
            <v>299880</v>
          </cell>
        </row>
        <row r="12">
          <cell r="K12">
            <v>466480</v>
          </cell>
          <cell r="M12">
            <v>396508</v>
          </cell>
        </row>
        <row r="13">
          <cell r="K13">
            <v>476000</v>
          </cell>
          <cell r="M13">
            <v>404600</v>
          </cell>
        </row>
        <row r="14">
          <cell r="K14">
            <v>385320</v>
          </cell>
          <cell r="M14">
            <v>327522</v>
          </cell>
        </row>
        <row r="15">
          <cell r="K15">
            <v>328300</v>
          </cell>
          <cell r="M15">
            <v>311885</v>
          </cell>
        </row>
        <row r="16">
          <cell r="K16">
            <v>447440</v>
          </cell>
          <cell r="M16">
            <v>402696</v>
          </cell>
        </row>
        <row r="17">
          <cell r="K17">
            <v>301500</v>
          </cell>
          <cell r="M17">
            <v>120600</v>
          </cell>
        </row>
        <row r="18">
          <cell r="K18">
            <v>1875300</v>
          </cell>
          <cell r="M18">
            <v>1218945</v>
          </cell>
        </row>
        <row r="19">
          <cell r="K19">
            <v>401920</v>
          </cell>
          <cell r="M19">
            <v>200960</v>
          </cell>
        </row>
        <row r="20">
          <cell r="K20">
            <v>904500</v>
          </cell>
          <cell r="M20">
            <v>723600</v>
          </cell>
        </row>
        <row r="21">
          <cell r="K21">
            <v>1072000</v>
          </cell>
          <cell r="M21">
            <v>857600</v>
          </cell>
        </row>
        <row r="22">
          <cell r="K22">
            <v>495800</v>
          </cell>
          <cell r="M22">
            <v>347060</v>
          </cell>
        </row>
        <row r="23">
          <cell r="K23">
            <v>268000</v>
          </cell>
          <cell r="M23">
            <v>214400</v>
          </cell>
        </row>
        <row r="24">
          <cell r="K24">
            <v>56000</v>
          </cell>
          <cell r="M24">
            <v>22400</v>
          </cell>
        </row>
        <row r="25">
          <cell r="K25">
            <v>480000</v>
          </cell>
          <cell r="M25">
            <v>312000</v>
          </cell>
        </row>
        <row r="26">
          <cell r="K26">
            <v>152320</v>
          </cell>
          <cell r="M26">
            <v>106624</v>
          </cell>
        </row>
        <row r="27">
          <cell r="K27">
            <v>720000</v>
          </cell>
          <cell r="M27">
            <v>504000</v>
          </cell>
        </row>
        <row r="28">
          <cell r="K28">
            <v>330000</v>
          </cell>
          <cell r="M28">
            <v>264000</v>
          </cell>
        </row>
        <row r="29">
          <cell r="K29">
            <v>1500000</v>
          </cell>
          <cell r="M29">
            <v>1350000</v>
          </cell>
        </row>
        <row r="30">
          <cell r="K30">
            <v>113900</v>
          </cell>
          <cell r="M30">
            <v>102510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tudieår"/>
      <sheetName val="2. studieår"/>
      <sheetName val="3. studieår"/>
      <sheetName val="4. studieår"/>
      <sheetName val="Valgemner"/>
      <sheetName val="Diverse"/>
      <sheetName val="Oppsummering "/>
      <sheetName val="Kontering"/>
      <sheetName val="HUM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9">
          <cell r="E19">
            <v>49680</v>
          </cell>
        </row>
      </sheetData>
      <sheetData sheetId="6" refreshError="1">
        <row r="3">
          <cell r="D3">
            <v>5804393.6320000002</v>
          </cell>
          <cell r="H3">
            <v>4274.2790697674418</v>
          </cell>
        </row>
        <row r="4">
          <cell r="D4">
            <v>4042860</v>
          </cell>
          <cell r="H4">
            <v>1880.3999999999999</v>
          </cell>
        </row>
        <row r="5">
          <cell r="D5">
            <v>3642100</v>
          </cell>
          <cell r="H5">
            <v>1638</v>
          </cell>
        </row>
        <row r="6">
          <cell r="D6">
            <v>2967760</v>
          </cell>
          <cell r="H6">
            <v>1391.9534883720933</v>
          </cell>
        </row>
        <row r="7">
          <cell r="D7">
            <v>2373600</v>
          </cell>
          <cell r="E7">
            <v>411538.66666666663</v>
          </cell>
          <cell r="H7">
            <v>1504</v>
          </cell>
        </row>
        <row r="9">
          <cell r="D9">
            <v>500000</v>
          </cell>
        </row>
        <row r="10">
          <cell r="D10">
            <v>116000</v>
          </cell>
        </row>
        <row r="11">
          <cell r="D11">
            <v>124700</v>
          </cell>
        </row>
        <row r="12">
          <cell r="D12">
            <v>2142360.0000000005</v>
          </cell>
        </row>
        <row r="15">
          <cell r="D15">
            <v>239500</v>
          </cell>
        </row>
        <row r="17">
          <cell r="D17">
            <v>382700</v>
          </cell>
        </row>
        <row r="19">
          <cell r="D19">
            <v>385280</v>
          </cell>
        </row>
      </sheetData>
      <sheetData sheetId="7" refreshError="1"/>
      <sheetData sheetId="8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8AFD36F-D6DA-4B38-BDDF-1002D6B97C48}">
  <header guid="{C8AFD36F-D6DA-4B38-BDDF-1002D6B97C48}" dateTime="2022-11-01T10:49:38" maxSheetId="10" userName="Trond Skjeie" r:id="rId1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8AFD36F-D6DA-4B38-BDDF-1002D6B97C48}" name="Randi Saunes" id="-839040411" dateTime="2022-11-02T12:37:02"/>
</user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vmlDrawing" Target="../drawings/vmlDrawing1.vml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13" Type="http://schemas.openxmlformats.org/officeDocument/2006/relationships/printerSettings" Target="../printerSettings/printerSettings40.bin"/><Relationship Id="rId18" Type="http://schemas.openxmlformats.org/officeDocument/2006/relationships/printerSettings" Target="../printerSettings/printerSettings45.bin"/><Relationship Id="rId26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30.bin"/><Relationship Id="rId21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34.bin"/><Relationship Id="rId12" Type="http://schemas.openxmlformats.org/officeDocument/2006/relationships/printerSettings" Target="../printerSettings/printerSettings39.bin"/><Relationship Id="rId17" Type="http://schemas.openxmlformats.org/officeDocument/2006/relationships/printerSettings" Target="../printerSettings/printerSettings44.bin"/><Relationship Id="rId25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29.bin"/><Relationship Id="rId16" Type="http://schemas.openxmlformats.org/officeDocument/2006/relationships/printerSettings" Target="../printerSettings/printerSettings43.bin"/><Relationship Id="rId20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11" Type="http://schemas.openxmlformats.org/officeDocument/2006/relationships/printerSettings" Target="../printerSettings/printerSettings38.bin"/><Relationship Id="rId24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32.bin"/><Relationship Id="rId15" Type="http://schemas.openxmlformats.org/officeDocument/2006/relationships/printerSettings" Target="../printerSettings/printerSettings42.bin"/><Relationship Id="rId23" Type="http://schemas.openxmlformats.org/officeDocument/2006/relationships/printerSettings" Target="../printerSettings/printerSettings50.bin"/><Relationship Id="rId10" Type="http://schemas.openxmlformats.org/officeDocument/2006/relationships/printerSettings" Target="../printerSettings/printerSettings37.bin"/><Relationship Id="rId19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Relationship Id="rId14" Type="http://schemas.openxmlformats.org/officeDocument/2006/relationships/printerSettings" Target="../printerSettings/printerSettings41.bin"/><Relationship Id="rId22" Type="http://schemas.openxmlformats.org/officeDocument/2006/relationships/printerSettings" Target="../printerSettings/printerSettings49.bin"/><Relationship Id="rId27" Type="http://schemas.openxmlformats.org/officeDocument/2006/relationships/printerSettings" Target="../printerSettings/printerSettings5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13" Type="http://schemas.openxmlformats.org/officeDocument/2006/relationships/printerSettings" Target="../printerSettings/printerSettings67.bin"/><Relationship Id="rId18" Type="http://schemas.openxmlformats.org/officeDocument/2006/relationships/printerSettings" Target="../printerSettings/printerSettings72.bin"/><Relationship Id="rId26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57.bin"/><Relationship Id="rId21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61.bin"/><Relationship Id="rId12" Type="http://schemas.openxmlformats.org/officeDocument/2006/relationships/printerSettings" Target="../printerSettings/printerSettings66.bin"/><Relationship Id="rId17" Type="http://schemas.openxmlformats.org/officeDocument/2006/relationships/printerSettings" Target="../printerSettings/printerSettings71.bin"/><Relationship Id="rId25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56.bin"/><Relationship Id="rId16" Type="http://schemas.openxmlformats.org/officeDocument/2006/relationships/printerSettings" Target="../printerSettings/printerSettings70.bin"/><Relationship Id="rId20" Type="http://schemas.openxmlformats.org/officeDocument/2006/relationships/printerSettings" Target="../printerSettings/printerSettings74.bin"/><Relationship Id="rId29" Type="http://schemas.openxmlformats.org/officeDocument/2006/relationships/comments" Target="../comments2.xml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11" Type="http://schemas.openxmlformats.org/officeDocument/2006/relationships/printerSettings" Target="../printerSettings/printerSettings65.bin"/><Relationship Id="rId24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59.bin"/><Relationship Id="rId15" Type="http://schemas.openxmlformats.org/officeDocument/2006/relationships/printerSettings" Target="../printerSettings/printerSettings69.bin"/><Relationship Id="rId23" Type="http://schemas.openxmlformats.org/officeDocument/2006/relationships/printerSettings" Target="../printerSettings/printerSettings77.bin"/><Relationship Id="rId28" Type="http://schemas.openxmlformats.org/officeDocument/2006/relationships/vmlDrawing" Target="../drawings/vmlDrawing2.vml"/><Relationship Id="rId10" Type="http://schemas.openxmlformats.org/officeDocument/2006/relationships/printerSettings" Target="../printerSettings/printerSettings64.bin"/><Relationship Id="rId19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Relationship Id="rId14" Type="http://schemas.openxmlformats.org/officeDocument/2006/relationships/printerSettings" Target="../printerSettings/printerSettings68.bin"/><Relationship Id="rId22" Type="http://schemas.openxmlformats.org/officeDocument/2006/relationships/printerSettings" Target="../printerSettings/printerSettings76.bin"/><Relationship Id="rId27" Type="http://schemas.openxmlformats.org/officeDocument/2006/relationships/printerSettings" Target="../printerSettings/printerSettings8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13" Type="http://schemas.openxmlformats.org/officeDocument/2006/relationships/printerSettings" Target="../printerSettings/printerSettings94.bin"/><Relationship Id="rId18" Type="http://schemas.openxmlformats.org/officeDocument/2006/relationships/printerSettings" Target="../printerSettings/printerSettings99.bin"/><Relationship Id="rId26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84.bin"/><Relationship Id="rId21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88.bin"/><Relationship Id="rId12" Type="http://schemas.openxmlformats.org/officeDocument/2006/relationships/printerSettings" Target="../printerSettings/printerSettings93.bin"/><Relationship Id="rId17" Type="http://schemas.openxmlformats.org/officeDocument/2006/relationships/printerSettings" Target="../printerSettings/printerSettings98.bin"/><Relationship Id="rId25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83.bin"/><Relationship Id="rId16" Type="http://schemas.openxmlformats.org/officeDocument/2006/relationships/printerSettings" Target="../printerSettings/printerSettings97.bin"/><Relationship Id="rId20" Type="http://schemas.openxmlformats.org/officeDocument/2006/relationships/printerSettings" Target="../printerSettings/printerSettings101.bin"/><Relationship Id="rId29" Type="http://schemas.openxmlformats.org/officeDocument/2006/relationships/comments" Target="../comments3.xml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1" Type="http://schemas.openxmlformats.org/officeDocument/2006/relationships/printerSettings" Target="../printerSettings/printerSettings92.bin"/><Relationship Id="rId24" Type="http://schemas.openxmlformats.org/officeDocument/2006/relationships/printerSettings" Target="../printerSettings/printerSettings105.bin"/><Relationship Id="rId5" Type="http://schemas.openxmlformats.org/officeDocument/2006/relationships/printerSettings" Target="../printerSettings/printerSettings86.bin"/><Relationship Id="rId15" Type="http://schemas.openxmlformats.org/officeDocument/2006/relationships/printerSettings" Target="../printerSettings/printerSettings96.bin"/><Relationship Id="rId23" Type="http://schemas.openxmlformats.org/officeDocument/2006/relationships/printerSettings" Target="../printerSettings/printerSettings104.bin"/><Relationship Id="rId28" Type="http://schemas.openxmlformats.org/officeDocument/2006/relationships/vmlDrawing" Target="../drawings/vmlDrawing3.vml"/><Relationship Id="rId10" Type="http://schemas.openxmlformats.org/officeDocument/2006/relationships/printerSettings" Target="../printerSettings/printerSettings91.bin"/><Relationship Id="rId19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Relationship Id="rId14" Type="http://schemas.openxmlformats.org/officeDocument/2006/relationships/printerSettings" Target="../printerSettings/printerSettings95.bin"/><Relationship Id="rId22" Type="http://schemas.openxmlformats.org/officeDocument/2006/relationships/printerSettings" Target="../printerSettings/printerSettings103.bin"/><Relationship Id="rId27" Type="http://schemas.openxmlformats.org/officeDocument/2006/relationships/printerSettings" Target="../printerSettings/printerSettings10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6.bin"/><Relationship Id="rId13" Type="http://schemas.openxmlformats.org/officeDocument/2006/relationships/printerSettings" Target="../printerSettings/printerSettings121.bin"/><Relationship Id="rId18" Type="http://schemas.openxmlformats.org/officeDocument/2006/relationships/printerSettings" Target="../printerSettings/printerSettings126.bin"/><Relationship Id="rId26" Type="http://schemas.openxmlformats.org/officeDocument/2006/relationships/printerSettings" Target="../printerSettings/printerSettings134.bin"/><Relationship Id="rId3" Type="http://schemas.openxmlformats.org/officeDocument/2006/relationships/printerSettings" Target="../printerSettings/printerSettings111.bin"/><Relationship Id="rId21" Type="http://schemas.openxmlformats.org/officeDocument/2006/relationships/printerSettings" Target="../printerSettings/printerSettings129.bin"/><Relationship Id="rId7" Type="http://schemas.openxmlformats.org/officeDocument/2006/relationships/printerSettings" Target="../printerSettings/printerSettings115.bin"/><Relationship Id="rId12" Type="http://schemas.openxmlformats.org/officeDocument/2006/relationships/printerSettings" Target="../printerSettings/printerSettings120.bin"/><Relationship Id="rId17" Type="http://schemas.openxmlformats.org/officeDocument/2006/relationships/printerSettings" Target="../printerSettings/printerSettings125.bin"/><Relationship Id="rId25" Type="http://schemas.openxmlformats.org/officeDocument/2006/relationships/printerSettings" Target="../printerSettings/printerSettings133.bin"/><Relationship Id="rId2" Type="http://schemas.openxmlformats.org/officeDocument/2006/relationships/printerSettings" Target="../printerSettings/printerSettings110.bin"/><Relationship Id="rId16" Type="http://schemas.openxmlformats.org/officeDocument/2006/relationships/printerSettings" Target="../printerSettings/printerSettings124.bin"/><Relationship Id="rId20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11" Type="http://schemas.openxmlformats.org/officeDocument/2006/relationships/printerSettings" Target="../printerSettings/printerSettings119.bin"/><Relationship Id="rId24" Type="http://schemas.openxmlformats.org/officeDocument/2006/relationships/printerSettings" Target="../printerSettings/printerSettings132.bin"/><Relationship Id="rId5" Type="http://schemas.openxmlformats.org/officeDocument/2006/relationships/printerSettings" Target="../printerSettings/printerSettings113.bin"/><Relationship Id="rId15" Type="http://schemas.openxmlformats.org/officeDocument/2006/relationships/printerSettings" Target="../printerSettings/printerSettings123.bin"/><Relationship Id="rId23" Type="http://schemas.openxmlformats.org/officeDocument/2006/relationships/printerSettings" Target="../printerSettings/printerSettings131.bin"/><Relationship Id="rId28" Type="http://schemas.openxmlformats.org/officeDocument/2006/relationships/comments" Target="../comments4.xml"/><Relationship Id="rId10" Type="http://schemas.openxmlformats.org/officeDocument/2006/relationships/printerSettings" Target="../printerSettings/printerSettings118.bin"/><Relationship Id="rId19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12.bin"/><Relationship Id="rId9" Type="http://schemas.openxmlformats.org/officeDocument/2006/relationships/printerSettings" Target="../printerSettings/printerSettings117.bin"/><Relationship Id="rId14" Type="http://schemas.openxmlformats.org/officeDocument/2006/relationships/printerSettings" Target="../printerSettings/printerSettings122.bin"/><Relationship Id="rId22" Type="http://schemas.openxmlformats.org/officeDocument/2006/relationships/printerSettings" Target="../printerSettings/printerSettings130.bin"/><Relationship Id="rId27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2.bin"/><Relationship Id="rId13" Type="http://schemas.openxmlformats.org/officeDocument/2006/relationships/printerSettings" Target="../printerSettings/printerSettings147.bin"/><Relationship Id="rId18" Type="http://schemas.openxmlformats.org/officeDocument/2006/relationships/printerSettings" Target="../printerSettings/printerSettings152.bin"/><Relationship Id="rId26" Type="http://schemas.openxmlformats.org/officeDocument/2006/relationships/printerSettings" Target="../printerSettings/printerSettings160.bin"/><Relationship Id="rId3" Type="http://schemas.openxmlformats.org/officeDocument/2006/relationships/printerSettings" Target="../printerSettings/printerSettings137.bin"/><Relationship Id="rId21" Type="http://schemas.openxmlformats.org/officeDocument/2006/relationships/printerSettings" Target="../printerSettings/printerSettings155.bin"/><Relationship Id="rId7" Type="http://schemas.openxmlformats.org/officeDocument/2006/relationships/printerSettings" Target="../printerSettings/printerSettings141.bin"/><Relationship Id="rId12" Type="http://schemas.openxmlformats.org/officeDocument/2006/relationships/printerSettings" Target="../printerSettings/printerSettings146.bin"/><Relationship Id="rId17" Type="http://schemas.openxmlformats.org/officeDocument/2006/relationships/printerSettings" Target="../printerSettings/printerSettings151.bin"/><Relationship Id="rId25" Type="http://schemas.openxmlformats.org/officeDocument/2006/relationships/printerSettings" Target="../printerSettings/printerSettings159.bin"/><Relationship Id="rId2" Type="http://schemas.openxmlformats.org/officeDocument/2006/relationships/printerSettings" Target="../printerSettings/printerSettings136.bin"/><Relationship Id="rId16" Type="http://schemas.openxmlformats.org/officeDocument/2006/relationships/printerSettings" Target="../printerSettings/printerSettings150.bin"/><Relationship Id="rId20" Type="http://schemas.openxmlformats.org/officeDocument/2006/relationships/printerSettings" Target="../printerSettings/printerSettings154.bin"/><Relationship Id="rId1" Type="http://schemas.openxmlformats.org/officeDocument/2006/relationships/printerSettings" Target="../printerSettings/printerSettings135.bin"/><Relationship Id="rId6" Type="http://schemas.openxmlformats.org/officeDocument/2006/relationships/printerSettings" Target="../printerSettings/printerSettings140.bin"/><Relationship Id="rId11" Type="http://schemas.openxmlformats.org/officeDocument/2006/relationships/printerSettings" Target="../printerSettings/printerSettings145.bin"/><Relationship Id="rId24" Type="http://schemas.openxmlformats.org/officeDocument/2006/relationships/printerSettings" Target="../printerSettings/printerSettings158.bin"/><Relationship Id="rId5" Type="http://schemas.openxmlformats.org/officeDocument/2006/relationships/printerSettings" Target="../printerSettings/printerSettings139.bin"/><Relationship Id="rId15" Type="http://schemas.openxmlformats.org/officeDocument/2006/relationships/printerSettings" Target="../printerSettings/printerSettings149.bin"/><Relationship Id="rId23" Type="http://schemas.openxmlformats.org/officeDocument/2006/relationships/printerSettings" Target="../printerSettings/printerSettings157.bin"/><Relationship Id="rId10" Type="http://schemas.openxmlformats.org/officeDocument/2006/relationships/printerSettings" Target="../printerSettings/printerSettings144.bin"/><Relationship Id="rId19" Type="http://schemas.openxmlformats.org/officeDocument/2006/relationships/printerSettings" Target="../printerSettings/printerSettings153.bin"/><Relationship Id="rId4" Type="http://schemas.openxmlformats.org/officeDocument/2006/relationships/printerSettings" Target="../printerSettings/printerSettings138.bin"/><Relationship Id="rId9" Type="http://schemas.openxmlformats.org/officeDocument/2006/relationships/printerSettings" Target="../printerSettings/printerSettings143.bin"/><Relationship Id="rId14" Type="http://schemas.openxmlformats.org/officeDocument/2006/relationships/printerSettings" Target="../printerSettings/printerSettings148.bin"/><Relationship Id="rId22" Type="http://schemas.openxmlformats.org/officeDocument/2006/relationships/printerSettings" Target="../printerSettings/printerSettings15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13" Type="http://schemas.openxmlformats.org/officeDocument/2006/relationships/printerSettings" Target="../printerSettings/printerSettings173.bin"/><Relationship Id="rId18" Type="http://schemas.openxmlformats.org/officeDocument/2006/relationships/printerSettings" Target="../printerSettings/printerSettings178.bin"/><Relationship Id="rId26" Type="http://schemas.openxmlformats.org/officeDocument/2006/relationships/printerSettings" Target="../printerSettings/printerSettings186.bin"/><Relationship Id="rId3" Type="http://schemas.openxmlformats.org/officeDocument/2006/relationships/printerSettings" Target="../printerSettings/printerSettings163.bin"/><Relationship Id="rId21" Type="http://schemas.openxmlformats.org/officeDocument/2006/relationships/printerSettings" Target="../printerSettings/printerSettings181.bin"/><Relationship Id="rId7" Type="http://schemas.openxmlformats.org/officeDocument/2006/relationships/printerSettings" Target="../printerSettings/printerSettings167.bin"/><Relationship Id="rId12" Type="http://schemas.openxmlformats.org/officeDocument/2006/relationships/printerSettings" Target="../printerSettings/printerSettings172.bin"/><Relationship Id="rId17" Type="http://schemas.openxmlformats.org/officeDocument/2006/relationships/printerSettings" Target="../printerSettings/printerSettings177.bin"/><Relationship Id="rId25" Type="http://schemas.openxmlformats.org/officeDocument/2006/relationships/printerSettings" Target="../printerSettings/printerSettings185.bin"/><Relationship Id="rId2" Type="http://schemas.openxmlformats.org/officeDocument/2006/relationships/printerSettings" Target="../printerSettings/printerSettings162.bin"/><Relationship Id="rId16" Type="http://schemas.openxmlformats.org/officeDocument/2006/relationships/printerSettings" Target="../printerSettings/printerSettings176.bin"/><Relationship Id="rId20" Type="http://schemas.openxmlformats.org/officeDocument/2006/relationships/printerSettings" Target="../printerSettings/printerSettings180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11" Type="http://schemas.openxmlformats.org/officeDocument/2006/relationships/printerSettings" Target="../printerSettings/printerSettings171.bin"/><Relationship Id="rId24" Type="http://schemas.openxmlformats.org/officeDocument/2006/relationships/printerSettings" Target="../printerSettings/printerSettings184.bin"/><Relationship Id="rId5" Type="http://schemas.openxmlformats.org/officeDocument/2006/relationships/printerSettings" Target="../printerSettings/printerSettings165.bin"/><Relationship Id="rId15" Type="http://schemas.openxmlformats.org/officeDocument/2006/relationships/printerSettings" Target="../printerSettings/printerSettings175.bin"/><Relationship Id="rId23" Type="http://schemas.openxmlformats.org/officeDocument/2006/relationships/printerSettings" Target="../printerSettings/printerSettings183.bin"/><Relationship Id="rId28" Type="http://schemas.openxmlformats.org/officeDocument/2006/relationships/drawing" Target="../drawings/drawing1.xml"/><Relationship Id="rId10" Type="http://schemas.openxmlformats.org/officeDocument/2006/relationships/printerSettings" Target="../printerSettings/printerSettings170.bin"/><Relationship Id="rId19" Type="http://schemas.openxmlformats.org/officeDocument/2006/relationships/printerSettings" Target="../printerSettings/printerSettings179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Relationship Id="rId14" Type="http://schemas.openxmlformats.org/officeDocument/2006/relationships/printerSettings" Target="../printerSettings/printerSettings174.bin"/><Relationship Id="rId22" Type="http://schemas.openxmlformats.org/officeDocument/2006/relationships/printerSettings" Target="../printerSettings/printerSettings182.bin"/><Relationship Id="rId27" Type="http://schemas.openxmlformats.org/officeDocument/2006/relationships/printerSettings" Target="../printerSettings/printerSettings18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5.bin"/><Relationship Id="rId13" Type="http://schemas.openxmlformats.org/officeDocument/2006/relationships/printerSettings" Target="../printerSettings/printerSettings200.bin"/><Relationship Id="rId18" Type="http://schemas.openxmlformats.org/officeDocument/2006/relationships/printerSettings" Target="../printerSettings/printerSettings205.bin"/><Relationship Id="rId26" Type="http://schemas.openxmlformats.org/officeDocument/2006/relationships/printerSettings" Target="../printerSettings/printerSettings213.bin"/><Relationship Id="rId3" Type="http://schemas.openxmlformats.org/officeDocument/2006/relationships/printerSettings" Target="../printerSettings/printerSettings190.bin"/><Relationship Id="rId21" Type="http://schemas.openxmlformats.org/officeDocument/2006/relationships/printerSettings" Target="../printerSettings/printerSettings208.bin"/><Relationship Id="rId7" Type="http://schemas.openxmlformats.org/officeDocument/2006/relationships/printerSettings" Target="../printerSettings/printerSettings194.bin"/><Relationship Id="rId12" Type="http://schemas.openxmlformats.org/officeDocument/2006/relationships/printerSettings" Target="../printerSettings/printerSettings199.bin"/><Relationship Id="rId17" Type="http://schemas.openxmlformats.org/officeDocument/2006/relationships/printerSettings" Target="../printerSettings/printerSettings204.bin"/><Relationship Id="rId25" Type="http://schemas.openxmlformats.org/officeDocument/2006/relationships/printerSettings" Target="../printerSettings/printerSettings212.bin"/><Relationship Id="rId2" Type="http://schemas.openxmlformats.org/officeDocument/2006/relationships/printerSettings" Target="../printerSettings/printerSettings189.bin"/><Relationship Id="rId16" Type="http://schemas.openxmlformats.org/officeDocument/2006/relationships/printerSettings" Target="../printerSettings/printerSettings203.bin"/><Relationship Id="rId20" Type="http://schemas.openxmlformats.org/officeDocument/2006/relationships/printerSettings" Target="../printerSettings/printerSettings207.bin"/><Relationship Id="rId1" Type="http://schemas.openxmlformats.org/officeDocument/2006/relationships/printerSettings" Target="../printerSettings/printerSettings188.bin"/><Relationship Id="rId6" Type="http://schemas.openxmlformats.org/officeDocument/2006/relationships/printerSettings" Target="../printerSettings/printerSettings193.bin"/><Relationship Id="rId11" Type="http://schemas.openxmlformats.org/officeDocument/2006/relationships/printerSettings" Target="../printerSettings/printerSettings198.bin"/><Relationship Id="rId24" Type="http://schemas.openxmlformats.org/officeDocument/2006/relationships/printerSettings" Target="../printerSettings/printerSettings211.bin"/><Relationship Id="rId5" Type="http://schemas.openxmlformats.org/officeDocument/2006/relationships/printerSettings" Target="../printerSettings/printerSettings192.bin"/><Relationship Id="rId15" Type="http://schemas.openxmlformats.org/officeDocument/2006/relationships/printerSettings" Target="../printerSettings/printerSettings202.bin"/><Relationship Id="rId23" Type="http://schemas.openxmlformats.org/officeDocument/2006/relationships/printerSettings" Target="../printerSettings/printerSettings210.bin"/><Relationship Id="rId10" Type="http://schemas.openxmlformats.org/officeDocument/2006/relationships/printerSettings" Target="../printerSettings/printerSettings197.bin"/><Relationship Id="rId19" Type="http://schemas.openxmlformats.org/officeDocument/2006/relationships/printerSettings" Target="../printerSettings/printerSettings206.bin"/><Relationship Id="rId4" Type="http://schemas.openxmlformats.org/officeDocument/2006/relationships/printerSettings" Target="../printerSettings/printerSettings191.bin"/><Relationship Id="rId9" Type="http://schemas.openxmlformats.org/officeDocument/2006/relationships/printerSettings" Target="../printerSettings/printerSettings196.bin"/><Relationship Id="rId14" Type="http://schemas.openxmlformats.org/officeDocument/2006/relationships/printerSettings" Target="../printerSettings/printerSettings201.bin"/><Relationship Id="rId22" Type="http://schemas.openxmlformats.org/officeDocument/2006/relationships/printerSettings" Target="../printerSettings/printerSettings209.bin"/><Relationship Id="rId27" Type="http://schemas.openxmlformats.org/officeDocument/2006/relationships/printerSettings" Target="../printerSettings/printerSettings21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2.bin"/><Relationship Id="rId3" Type="http://schemas.openxmlformats.org/officeDocument/2006/relationships/printerSettings" Target="../printerSettings/printerSettings217.bin"/><Relationship Id="rId7" Type="http://schemas.openxmlformats.org/officeDocument/2006/relationships/printerSettings" Target="../printerSettings/printerSettings221.bin"/><Relationship Id="rId2" Type="http://schemas.openxmlformats.org/officeDocument/2006/relationships/printerSettings" Target="../printerSettings/printerSettings216.bin"/><Relationship Id="rId1" Type="http://schemas.openxmlformats.org/officeDocument/2006/relationships/printerSettings" Target="../printerSettings/printerSettings215.bin"/><Relationship Id="rId6" Type="http://schemas.openxmlformats.org/officeDocument/2006/relationships/printerSettings" Target="../printerSettings/printerSettings220.bin"/><Relationship Id="rId11" Type="http://schemas.openxmlformats.org/officeDocument/2006/relationships/printerSettings" Target="../printerSettings/printerSettings225.bin"/><Relationship Id="rId5" Type="http://schemas.openxmlformats.org/officeDocument/2006/relationships/printerSettings" Target="../printerSettings/printerSettings219.bin"/><Relationship Id="rId10" Type="http://schemas.openxmlformats.org/officeDocument/2006/relationships/printerSettings" Target="../printerSettings/printerSettings224.bin"/><Relationship Id="rId4" Type="http://schemas.openxmlformats.org/officeDocument/2006/relationships/printerSettings" Target="../printerSettings/printerSettings218.bin"/><Relationship Id="rId9" Type="http://schemas.openxmlformats.org/officeDocument/2006/relationships/printerSettings" Target="../printerSettings/printerSettings22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J44"/>
  <sheetViews>
    <sheetView zoomScale="80" zoomScaleNormal="80" workbookViewId="0">
      <pane xSplit="1" topLeftCell="B1" activePane="topRight" state="frozen"/>
      <selection pane="topRight" activeCell="H18" sqref="H18"/>
    </sheetView>
  </sheetViews>
  <sheetFormatPr baseColWidth="10" defaultColWidth="11.42578125" defaultRowHeight="15" x14ac:dyDescent="0.25"/>
  <cols>
    <col min="1" max="1" width="40.5703125" customWidth="1"/>
    <col min="2" max="2" width="13.5703125" customWidth="1"/>
    <col min="3" max="3" width="13.140625" customWidth="1"/>
    <col min="4" max="4" width="10.42578125" customWidth="1"/>
    <col min="5" max="5" width="11" customWidth="1"/>
    <col min="6" max="6" width="8.42578125" hidden="1" customWidth="1"/>
    <col min="7" max="7" width="9.85546875" hidden="1" customWidth="1"/>
    <col min="8" max="8" width="12.42578125" customWidth="1"/>
    <col min="9" max="10" width="10.5703125" customWidth="1"/>
    <col min="11" max="11" width="12.85546875" customWidth="1"/>
    <col min="12" max="13" width="10.5703125" customWidth="1"/>
    <col min="14" max="14" width="14.42578125" customWidth="1"/>
    <col min="15" max="15" width="9.85546875" hidden="1" customWidth="1"/>
    <col min="16" max="16" width="8.85546875" customWidth="1"/>
    <col min="17" max="17" width="10.5703125" customWidth="1"/>
    <col min="18" max="18" width="11.42578125" hidden="1" customWidth="1"/>
    <col min="19" max="20" width="8.140625" hidden="1" customWidth="1"/>
    <col min="21" max="21" width="13.5703125" customWidth="1"/>
    <col min="22" max="23" width="12.42578125" customWidth="1"/>
    <col min="24" max="24" width="14.42578125" customWidth="1"/>
    <col min="25" max="25" width="14.5703125" customWidth="1"/>
    <col min="26" max="26" width="11.42578125" customWidth="1"/>
    <col min="27" max="27" width="12.85546875" style="5" customWidth="1"/>
    <col min="28" max="28" width="10.5703125" style="5" customWidth="1"/>
    <col min="29" max="29" width="11.85546875" style="5" customWidth="1"/>
    <col min="30" max="31" width="13.42578125" customWidth="1"/>
    <col min="32" max="32" width="12.42578125" customWidth="1"/>
    <col min="33" max="33" width="11.42578125" customWidth="1"/>
    <col min="34" max="34" width="9.5703125" customWidth="1"/>
    <col min="35" max="35" width="12.5703125" customWidth="1"/>
    <col min="36" max="36" width="10" bestFit="1" customWidth="1"/>
    <col min="37" max="257" width="9.140625" customWidth="1"/>
  </cols>
  <sheetData>
    <row r="1" spans="1:36" ht="23.25" x14ac:dyDescent="0.35">
      <c r="A1" s="367" t="s">
        <v>39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239"/>
      <c r="AB1" s="74"/>
      <c r="AC1" s="74"/>
    </row>
    <row r="3" spans="1:36" ht="45.75" thickBot="1" x14ac:dyDescent="0.3">
      <c r="A3" s="137" t="s">
        <v>3</v>
      </c>
      <c r="B3" s="138"/>
      <c r="C3" s="138"/>
      <c r="D3" s="210">
        <v>260</v>
      </c>
      <c r="E3" s="59"/>
      <c r="H3" s="139" t="s">
        <v>5</v>
      </c>
      <c r="I3" s="231">
        <v>2500</v>
      </c>
      <c r="J3" s="139" t="s">
        <v>20</v>
      </c>
      <c r="K3" s="319"/>
      <c r="L3" s="314"/>
      <c r="M3" s="314"/>
      <c r="N3" s="314"/>
      <c r="O3" s="315">
        <f>335.8*1.28</f>
        <v>429.82400000000001</v>
      </c>
      <c r="P3" s="313"/>
      <c r="Z3" s="368" t="s">
        <v>40</v>
      </c>
      <c r="AA3" s="368"/>
      <c r="AB3" s="77"/>
      <c r="AC3" s="77"/>
      <c r="AD3" s="77"/>
      <c r="AG3" s="372"/>
      <c r="AH3" s="373"/>
      <c r="AI3" s="373"/>
      <c r="AJ3" s="373"/>
    </row>
    <row r="4" spans="1:36" ht="30" x14ac:dyDescent="0.25">
      <c r="A4" s="318"/>
      <c r="B4" s="43"/>
      <c r="C4" s="43"/>
      <c r="D4" s="317"/>
      <c r="E4" s="59"/>
      <c r="H4" s="139" t="s">
        <v>6</v>
      </c>
      <c r="I4" s="231">
        <v>340</v>
      </c>
      <c r="J4" s="139" t="s">
        <v>243</v>
      </c>
      <c r="K4" s="319">
        <v>200</v>
      </c>
      <c r="L4" s="314"/>
      <c r="M4" s="314"/>
      <c r="N4" s="314"/>
      <c r="O4" s="316"/>
      <c r="P4" s="43"/>
      <c r="Q4" s="59"/>
      <c r="R4" s="59"/>
      <c r="S4" s="59"/>
      <c r="AA4"/>
      <c r="AD4" s="5"/>
      <c r="AG4" s="365" t="s">
        <v>57</v>
      </c>
      <c r="AH4" s="366"/>
      <c r="AI4" s="366"/>
      <c r="AJ4" s="366"/>
    </row>
    <row r="5" spans="1:36" ht="18.75" x14ac:dyDescent="0.3">
      <c r="A5" s="263" t="s">
        <v>41</v>
      </c>
      <c r="B5" s="287"/>
      <c r="C5" s="287"/>
      <c r="D5" s="57"/>
      <c r="E5" s="59"/>
      <c r="F5" s="41"/>
      <c r="G5" s="43"/>
      <c r="H5" s="43"/>
      <c r="I5" s="41"/>
      <c r="J5" s="59"/>
      <c r="K5" s="59"/>
      <c r="L5" s="59"/>
      <c r="M5" s="59"/>
      <c r="N5" s="59"/>
      <c r="O5" s="59"/>
      <c r="P5" s="59"/>
      <c r="Q5" s="59"/>
      <c r="R5" s="59"/>
      <c r="AF5" s="67" t="s">
        <v>48</v>
      </c>
      <c r="AG5" s="64" t="s">
        <v>44</v>
      </c>
      <c r="AH5" s="64"/>
      <c r="AI5" s="64" t="s">
        <v>45</v>
      </c>
      <c r="AJ5" s="64" t="s">
        <v>46</v>
      </c>
    </row>
    <row r="6" spans="1:36" ht="27.75" customHeight="1" x14ac:dyDescent="0.25">
      <c r="A6" s="264">
        <v>24</v>
      </c>
      <c r="D6" s="374" t="s">
        <v>42</v>
      </c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6"/>
      <c r="AF6" s="72"/>
      <c r="AG6" s="65"/>
      <c r="AH6" s="65"/>
      <c r="AI6" s="65"/>
      <c r="AJ6" s="65">
        <v>1</v>
      </c>
    </row>
    <row r="7" spans="1:36" ht="27.75" customHeight="1" x14ac:dyDescent="0.25">
      <c r="D7" s="377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9"/>
      <c r="AF7" s="364" t="s">
        <v>265</v>
      </c>
      <c r="AG7" s="364"/>
      <c r="AH7" s="364"/>
      <c r="AI7" s="364"/>
      <c r="AJ7" s="364"/>
    </row>
    <row r="8" spans="1:36" s="25" customFormat="1" ht="72" x14ac:dyDescent="0.25">
      <c r="A8" s="51" t="s">
        <v>307</v>
      </c>
      <c r="B8" s="54" t="s">
        <v>108</v>
      </c>
      <c r="C8" s="54" t="s">
        <v>318</v>
      </c>
      <c r="D8" s="52" t="s">
        <v>147</v>
      </c>
      <c r="E8" s="52" t="s">
        <v>148</v>
      </c>
      <c r="F8" s="52" t="s">
        <v>143</v>
      </c>
      <c r="G8" s="52" t="s">
        <v>7</v>
      </c>
      <c r="H8" s="52" t="s">
        <v>2</v>
      </c>
      <c r="I8" s="265" t="s">
        <v>199</v>
      </c>
      <c r="J8" s="265" t="s">
        <v>200</v>
      </c>
      <c r="K8" s="265" t="s">
        <v>257</v>
      </c>
      <c r="L8" s="265" t="s">
        <v>150</v>
      </c>
      <c r="M8" s="265" t="s">
        <v>152</v>
      </c>
      <c r="N8" s="265" t="s">
        <v>320</v>
      </c>
      <c r="O8" s="271" t="s">
        <v>201</v>
      </c>
      <c r="P8" s="271" t="s">
        <v>203</v>
      </c>
      <c r="Q8" s="272" t="s">
        <v>202</v>
      </c>
      <c r="R8" s="272" t="s">
        <v>60</v>
      </c>
      <c r="S8" s="272" t="s">
        <v>61</v>
      </c>
      <c r="T8" s="271" t="s">
        <v>52</v>
      </c>
      <c r="U8" s="271" t="s">
        <v>258</v>
      </c>
      <c r="V8" s="271" t="s">
        <v>151</v>
      </c>
      <c r="W8" s="271" t="s">
        <v>153</v>
      </c>
      <c r="X8" s="271" t="s">
        <v>316</v>
      </c>
      <c r="Y8" s="49" t="s">
        <v>317</v>
      </c>
      <c r="Z8" s="49" t="s">
        <v>149</v>
      </c>
      <c r="AA8" s="54" t="s">
        <v>259</v>
      </c>
      <c r="AB8" s="54" t="s">
        <v>58</v>
      </c>
      <c r="AC8" s="54" t="s">
        <v>59</v>
      </c>
      <c r="AD8" s="76"/>
      <c r="AE8" s="244">
        <v>102562101</v>
      </c>
      <c r="AF8" s="250">
        <v>102562102</v>
      </c>
      <c r="AG8" s="250"/>
      <c r="AH8" s="73"/>
      <c r="AI8" s="244">
        <v>102562104</v>
      </c>
    </row>
    <row r="9" spans="1:36" s="25" customFormat="1" ht="78" customHeight="1" x14ac:dyDescent="0.25">
      <c r="A9" s="1" t="s">
        <v>0</v>
      </c>
      <c r="B9" s="3"/>
      <c r="C9" s="1"/>
      <c r="D9" s="8"/>
      <c r="E9" s="8"/>
      <c r="F9" s="8"/>
      <c r="G9" s="8"/>
      <c r="H9" s="8"/>
      <c r="I9" s="266"/>
      <c r="J9" s="266"/>
      <c r="K9" s="267"/>
      <c r="L9" s="267"/>
      <c r="M9" s="267"/>
      <c r="N9" s="267"/>
      <c r="O9" s="273"/>
      <c r="P9" s="273"/>
      <c r="Q9" s="273"/>
      <c r="R9" s="273"/>
      <c r="S9" s="273"/>
      <c r="T9" s="273"/>
      <c r="U9" s="274"/>
      <c r="V9" s="274"/>
      <c r="W9" s="274"/>
      <c r="X9" s="3"/>
      <c r="Y9" s="3"/>
      <c r="Z9" s="19"/>
      <c r="AA9" s="19"/>
      <c r="AB9" s="3"/>
      <c r="AC9" s="3"/>
      <c r="AE9" s="217" t="s">
        <v>208</v>
      </c>
      <c r="AF9" s="79" t="s">
        <v>47</v>
      </c>
      <c r="AG9" s="217" t="s">
        <v>56</v>
      </c>
      <c r="AH9" s="80"/>
      <c r="AI9" s="80"/>
    </row>
    <row r="10" spans="1:36" x14ac:dyDescent="0.25">
      <c r="A10" s="14" t="s">
        <v>13</v>
      </c>
      <c r="B10" s="3"/>
      <c r="C10" s="1"/>
      <c r="D10" s="185"/>
      <c r="E10" s="185"/>
      <c r="F10" s="185"/>
      <c r="G10" s="185"/>
      <c r="H10" s="185"/>
      <c r="I10" s="185"/>
      <c r="J10" s="185"/>
      <c r="K10" s="279"/>
      <c r="L10" s="279"/>
      <c r="M10" s="279"/>
      <c r="N10" s="279"/>
      <c r="O10" s="185"/>
      <c r="P10" s="185"/>
      <c r="Q10" s="185"/>
      <c r="R10" s="185"/>
      <c r="S10" s="185"/>
      <c r="T10" s="185"/>
      <c r="U10" s="279"/>
      <c r="V10" s="279"/>
      <c r="W10" s="279"/>
      <c r="X10" s="3"/>
      <c r="Y10" s="3"/>
      <c r="Z10" s="19"/>
      <c r="AA10" s="19"/>
      <c r="AB10" s="3"/>
      <c r="AC10" s="3"/>
      <c r="AE10" s="205"/>
      <c r="AF10" s="42"/>
      <c r="AG10" s="185"/>
      <c r="AH10" s="1"/>
      <c r="AI10" s="1"/>
    </row>
    <row r="11" spans="1:36" x14ac:dyDescent="0.25">
      <c r="A11" s="2" t="s">
        <v>308</v>
      </c>
      <c r="B11" s="3"/>
      <c r="C11" s="1"/>
      <c r="D11" s="185"/>
      <c r="E11" s="185"/>
      <c r="F11" s="185"/>
      <c r="G11" s="185"/>
      <c r="H11" s="185"/>
      <c r="I11" s="185"/>
      <c r="J11" s="185"/>
      <c r="K11" s="279"/>
      <c r="L11" s="279"/>
      <c r="M11" s="279"/>
      <c r="N11" s="279"/>
      <c r="O11" s="58"/>
      <c r="P11" s="58"/>
      <c r="Q11" s="58"/>
      <c r="R11" s="185"/>
      <c r="S11" s="185"/>
      <c r="T11" s="185"/>
      <c r="U11" s="279"/>
      <c r="V11" s="279"/>
      <c r="W11" s="279"/>
      <c r="X11" s="3"/>
      <c r="Y11" s="3"/>
      <c r="Z11" s="19"/>
      <c r="AA11" s="19"/>
      <c r="AB11" s="3"/>
      <c r="AC11" s="3"/>
      <c r="AE11" s="205"/>
      <c r="AF11" s="42"/>
      <c r="AG11" s="185"/>
      <c r="AH11" s="1"/>
      <c r="AI11" s="1"/>
    </row>
    <row r="12" spans="1:36" x14ac:dyDescent="0.25">
      <c r="A12" s="1" t="s">
        <v>309</v>
      </c>
      <c r="B12" s="3">
        <f t="shared" ref="B12:B18" si="0">Y12+(AB12+AC12)/$I$3</f>
        <v>366</v>
      </c>
      <c r="C12" s="3">
        <f>Z12+AA12+AB12+AC12</f>
        <v>915000</v>
      </c>
      <c r="D12" s="202">
        <v>3</v>
      </c>
      <c r="E12" s="202">
        <v>10</v>
      </c>
      <c r="F12" s="202"/>
      <c r="G12" s="202"/>
      <c r="H12" s="203">
        <v>12</v>
      </c>
      <c r="I12" s="268">
        <v>18</v>
      </c>
      <c r="J12" s="268">
        <v>0</v>
      </c>
      <c r="K12" s="267"/>
      <c r="L12" s="267"/>
      <c r="M12" s="267"/>
      <c r="N12" s="279">
        <f>D12+(E12*I12)</f>
        <v>183</v>
      </c>
      <c r="O12" s="274">
        <f>+IF(F12&gt;0,$D$3/#REF!,0)</f>
        <v>0</v>
      </c>
      <c r="P12" s="274">
        <v>18</v>
      </c>
      <c r="Q12" s="274">
        <v>0</v>
      </c>
      <c r="R12" s="274"/>
      <c r="S12" s="274"/>
      <c r="T12" s="273">
        <f>D12+(E12*I12)</f>
        <v>183</v>
      </c>
      <c r="U12" s="274"/>
      <c r="V12" s="274"/>
      <c r="W12" s="274"/>
      <c r="X12" s="3">
        <f t="shared" ref="X12:X18" si="1">D12+(E12*P12)</f>
        <v>183</v>
      </c>
      <c r="Y12" s="3">
        <f>T12+X12</f>
        <v>366</v>
      </c>
      <c r="Z12" s="19">
        <f>Y12*$I$3</f>
        <v>915000</v>
      </c>
      <c r="AA12" s="3">
        <f>(K12+U12)*$K$4*$D$3</f>
        <v>0</v>
      </c>
      <c r="AB12" s="3">
        <f>(L12+V12)*$K$4*$D$3*0.5</f>
        <v>0</v>
      </c>
      <c r="AC12" s="3">
        <f>(M12+W12)*$K$4*$D$3*0.5</f>
        <v>0</v>
      </c>
      <c r="AE12" s="205"/>
      <c r="AF12" s="42">
        <f>IF(AG12&gt;0,Y12*(J12+Q12)/(I12+P12),0)</f>
        <v>0</v>
      </c>
      <c r="AG12" s="185">
        <f>SUM(Q12,J12)</f>
        <v>0</v>
      </c>
      <c r="AH12" s="1"/>
      <c r="AI12" s="1"/>
    </row>
    <row r="13" spans="1:36" x14ac:dyDescent="0.25">
      <c r="A13" s="1" t="s">
        <v>310</v>
      </c>
      <c r="B13" s="3">
        <f t="shared" si="0"/>
        <v>532.79999999999995</v>
      </c>
      <c r="C13" s="3">
        <f t="shared" ref="C13:C18" si="2">Z13+AA13+AB13+AC13</f>
        <v>1436000</v>
      </c>
      <c r="D13" s="202">
        <v>18</v>
      </c>
      <c r="E13" s="202">
        <v>34</v>
      </c>
      <c r="F13" s="202"/>
      <c r="G13" s="202"/>
      <c r="H13" s="203">
        <v>39</v>
      </c>
      <c r="I13" s="268">
        <v>7</v>
      </c>
      <c r="J13" s="268">
        <v>4</v>
      </c>
      <c r="K13" s="267">
        <v>1</v>
      </c>
      <c r="L13" s="267">
        <v>1</v>
      </c>
      <c r="M13" s="267"/>
      <c r="N13" s="279">
        <f t="shared" ref="N13:N16" si="3">D13+(E13*I13)</f>
        <v>256</v>
      </c>
      <c r="O13" s="274">
        <f>+IF(F13&gt;0,$D$3/#REF!,0)</f>
        <v>0</v>
      </c>
      <c r="P13" s="274">
        <v>7</v>
      </c>
      <c r="Q13" s="274">
        <v>5</v>
      </c>
      <c r="R13" s="274"/>
      <c r="S13" s="274"/>
      <c r="T13" s="273">
        <f>D13+(E13*I13)</f>
        <v>256</v>
      </c>
      <c r="U13" s="274">
        <v>1</v>
      </c>
      <c r="V13" s="274">
        <v>1</v>
      </c>
      <c r="W13" s="274"/>
      <c r="X13" s="3">
        <f t="shared" si="1"/>
        <v>256</v>
      </c>
      <c r="Y13" s="3">
        <f>T13+X13</f>
        <v>512</v>
      </c>
      <c r="Z13" s="19">
        <f>Y13*$I$3</f>
        <v>1280000</v>
      </c>
      <c r="AA13" s="3">
        <f t="shared" ref="AA13:AA18" si="4">(K13+U13)*$K$4*$D$3</f>
        <v>104000</v>
      </c>
      <c r="AB13" s="3">
        <f t="shared" ref="AB13:AB18" si="5">(L13+V13)*$K$4*$D$3*0.5</f>
        <v>52000</v>
      </c>
      <c r="AC13" s="3">
        <f t="shared" ref="AC13:AC18" si="6">(M13+W13)*$K$4*$D$3*0.5</f>
        <v>0</v>
      </c>
      <c r="AE13" s="205"/>
      <c r="AF13" s="42">
        <f>IF(AG13&gt;0,(Y13-D13*2)*(J13+Q13)/(I13+P13),0)</f>
        <v>306</v>
      </c>
      <c r="AG13" s="185">
        <f>SUM(Q13,J13)</f>
        <v>9</v>
      </c>
      <c r="AH13" s="1"/>
      <c r="AI13" s="1"/>
    </row>
    <row r="14" spans="1:36" x14ac:dyDescent="0.25">
      <c r="A14" s="1" t="s">
        <v>311</v>
      </c>
      <c r="B14" s="3">
        <f t="shared" si="0"/>
        <v>224.8</v>
      </c>
      <c r="C14" s="3">
        <f t="shared" si="2"/>
        <v>666000</v>
      </c>
      <c r="D14" s="202">
        <v>18</v>
      </c>
      <c r="E14" s="202">
        <v>12</v>
      </c>
      <c r="F14" s="202"/>
      <c r="G14" s="202"/>
      <c r="H14" s="203">
        <v>39</v>
      </c>
      <c r="I14" s="268">
        <v>7</v>
      </c>
      <c r="J14" s="268">
        <v>4</v>
      </c>
      <c r="K14" s="267">
        <v>1</v>
      </c>
      <c r="L14" s="267">
        <v>1</v>
      </c>
      <c r="M14" s="267"/>
      <c r="N14" s="279">
        <f t="shared" si="3"/>
        <v>102</v>
      </c>
      <c r="O14" s="274">
        <f>+IF(F14&gt;0,$D$3/#REF!,0)</f>
        <v>0</v>
      </c>
      <c r="P14" s="274">
        <v>7</v>
      </c>
      <c r="Q14" s="274">
        <v>2</v>
      </c>
      <c r="R14" s="274"/>
      <c r="S14" s="274"/>
      <c r="T14" s="273">
        <f>D14+(E14*I14)</f>
        <v>102</v>
      </c>
      <c r="U14" s="274">
        <v>1</v>
      </c>
      <c r="V14" s="274">
        <v>1</v>
      </c>
      <c r="W14" s="274"/>
      <c r="X14" s="3">
        <f t="shared" si="1"/>
        <v>102</v>
      </c>
      <c r="Y14" s="3">
        <f>T14+X14</f>
        <v>204</v>
      </c>
      <c r="Z14" s="19">
        <f>Y14*$I$3</f>
        <v>510000</v>
      </c>
      <c r="AA14" s="3">
        <f t="shared" si="4"/>
        <v>104000</v>
      </c>
      <c r="AB14" s="3">
        <f t="shared" si="5"/>
        <v>52000</v>
      </c>
      <c r="AC14" s="3">
        <f t="shared" si="6"/>
        <v>0</v>
      </c>
      <c r="AE14" s="205">
        <v>0</v>
      </c>
      <c r="AF14" s="42">
        <f>IF(AG14&gt;0,(Y14-D14*2)*(J14+Q14)/(I14+P14),0)</f>
        <v>72</v>
      </c>
      <c r="AG14" s="185">
        <f>SUM(Q14,J14)</f>
        <v>6</v>
      </c>
      <c r="AH14" s="1"/>
      <c r="AI14" s="1"/>
    </row>
    <row r="15" spans="1:36" x14ac:dyDescent="0.25">
      <c r="A15" s="1" t="s">
        <v>292</v>
      </c>
      <c r="B15" s="3">
        <f t="shared" si="0"/>
        <v>72.8</v>
      </c>
      <c r="C15" s="3">
        <f t="shared" si="2"/>
        <v>182000</v>
      </c>
      <c r="D15" s="202"/>
      <c r="E15" s="202">
        <v>4</v>
      </c>
      <c r="F15" s="202"/>
      <c r="G15" s="202"/>
      <c r="H15" s="203"/>
      <c r="I15" s="268">
        <v>7</v>
      </c>
      <c r="J15" s="268">
        <v>6</v>
      </c>
      <c r="K15" s="267"/>
      <c r="L15" s="267">
        <v>1</v>
      </c>
      <c r="M15" s="267"/>
      <c r="N15" s="279">
        <f t="shared" si="3"/>
        <v>28</v>
      </c>
      <c r="O15" s="274"/>
      <c r="P15" s="274">
        <v>6</v>
      </c>
      <c r="Q15" s="274">
        <v>6</v>
      </c>
      <c r="R15" s="274"/>
      <c r="S15" s="274"/>
      <c r="T15" s="273">
        <f>D15+(E15*I15)</f>
        <v>28</v>
      </c>
      <c r="U15" s="274"/>
      <c r="V15" s="274">
        <v>1</v>
      </c>
      <c r="W15" s="274"/>
      <c r="X15" s="3">
        <f t="shared" si="1"/>
        <v>24</v>
      </c>
      <c r="Y15" s="3">
        <f>T15+X15</f>
        <v>52</v>
      </c>
      <c r="Z15" s="19">
        <f>Y15*$I$3</f>
        <v>130000</v>
      </c>
      <c r="AA15" s="3">
        <f t="shared" si="4"/>
        <v>0</v>
      </c>
      <c r="AB15" s="3">
        <f t="shared" si="5"/>
        <v>52000</v>
      </c>
      <c r="AC15" s="3">
        <f t="shared" si="6"/>
        <v>0</v>
      </c>
      <c r="AE15" s="205"/>
      <c r="AF15" s="42">
        <f>IF(AG15&gt;0,(Y15-D15*2)*(J15+Q15)/(I15+P15),0)</f>
        <v>48</v>
      </c>
      <c r="AG15" s="185">
        <f>SUM(Q15,J15)</f>
        <v>12</v>
      </c>
      <c r="AH15" s="1"/>
      <c r="AI15" s="1"/>
    </row>
    <row r="16" spans="1:36" x14ac:dyDescent="0.25">
      <c r="A16" s="1" t="s">
        <v>230</v>
      </c>
      <c r="B16" s="3">
        <f t="shared" si="0"/>
        <v>26</v>
      </c>
      <c r="C16" s="3">
        <f t="shared" si="2"/>
        <v>65000</v>
      </c>
      <c r="D16" s="202"/>
      <c r="E16" s="202">
        <v>2</v>
      </c>
      <c r="F16" s="202"/>
      <c r="G16" s="202"/>
      <c r="H16" s="203">
        <v>40</v>
      </c>
      <c r="I16" s="268">
        <v>6</v>
      </c>
      <c r="J16" s="268">
        <v>6</v>
      </c>
      <c r="K16" s="267"/>
      <c r="L16" s="267"/>
      <c r="M16" s="267"/>
      <c r="N16" s="279">
        <f t="shared" si="3"/>
        <v>12</v>
      </c>
      <c r="O16" s="274"/>
      <c r="P16" s="274">
        <v>7</v>
      </c>
      <c r="Q16" s="274">
        <v>6</v>
      </c>
      <c r="R16" s="274"/>
      <c r="S16" s="274"/>
      <c r="T16" s="273">
        <f>D16+(E16*I16)</f>
        <v>12</v>
      </c>
      <c r="U16" s="274"/>
      <c r="V16" s="274"/>
      <c r="W16" s="274"/>
      <c r="X16" s="3">
        <f t="shared" si="1"/>
        <v>14</v>
      </c>
      <c r="Y16" s="3">
        <f>T16+X16</f>
        <v>26</v>
      </c>
      <c r="Z16" s="19">
        <f>Y16*$I$3</f>
        <v>65000</v>
      </c>
      <c r="AA16" s="3">
        <f t="shared" si="4"/>
        <v>0</v>
      </c>
      <c r="AB16" s="3">
        <f t="shared" si="5"/>
        <v>0</v>
      </c>
      <c r="AC16" s="3">
        <f t="shared" si="6"/>
        <v>0</v>
      </c>
      <c r="AE16" s="205"/>
      <c r="AF16" s="42">
        <f>IF(AG16&gt;0,(Y16-D16*2)*(J16+Q16)/(I16+P16),0)</f>
        <v>24</v>
      </c>
      <c r="AG16" s="185">
        <f>SUM(Q16,J16)</f>
        <v>12</v>
      </c>
      <c r="AH16" s="1"/>
      <c r="AI16" s="1"/>
    </row>
    <row r="17" spans="1:36" x14ac:dyDescent="0.25">
      <c r="A17" s="1" t="s">
        <v>293</v>
      </c>
      <c r="B17" s="3">
        <f t="shared" si="0"/>
        <v>240</v>
      </c>
      <c r="C17" s="3">
        <f t="shared" si="2"/>
        <v>103157.76000000001</v>
      </c>
      <c r="D17" s="203"/>
      <c r="E17" s="203">
        <v>4</v>
      </c>
      <c r="F17" s="203"/>
      <c r="G17" s="203"/>
      <c r="H17" s="203"/>
      <c r="I17" s="267">
        <v>30</v>
      </c>
      <c r="J17" s="267"/>
      <c r="K17" s="267"/>
      <c r="L17" s="267"/>
      <c r="M17" s="267"/>
      <c r="N17" s="279">
        <f>D17+(E17*I17)+(F17*O17)</f>
        <v>120</v>
      </c>
      <c r="O17" s="279"/>
      <c r="P17" s="274">
        <v>30</v>
      </c>
      <c r="Q17" s="274"/>
      <c r="R17" s="274"/>
      <c r="S17" s="274"/>
      <c r="T17" s="273"/>
      <c r="U17" s="274"/>
      <c r="V17" s="274"/>
      <c r="W17" s="274"/>
      <c r="X17" s="3">
        <f t="shared" si="1"/>
        <v>120</v>
      </c>
      <c r="Y17" s="3">
        <f>N17+X17</f>
        <v>240</v>
      </c>
      <c r="Z17" s="19">
        <f>Y17*$O$3</f>
        <v>103157.76000000001</v>
      </c>
      <c r="AA17" s="3">
        <f t="shared" si="4"/>
        <v>0</v>
      </c>
      <c r="AB17" s="3">
        <f t="shared" si="5"/>
        <v>0</v>
      </c>
      <c r="AC17" s="3">
        <f t="shared" si="6"/>
        <v>0</v>
      </c>
      <c r="AE17" s="205"/>
      <c r="AF17" s="42"/>
      <c r="AG17" s="185"/>
      <c r="AH17" s="1"/>
      <c r="AI17" s="1"/>
    </row>
    <row r="18" spans="1:36" x14ac:dyDescent="0.25">
      <c r="A18" s="58" t="s">
        <v>8</v>
      </c>
      <c r="B18" s="3">
        <f t="shared" si="0"/>
        <v>2592</v>
      </c>
      <c r="C18" s="3">
        <f t="shared" si="2"/>
        <v>1114103.808</v>
      </c>
      <c r="D18" s="203"/>
      <c r="E18" s="203">
        <v>36</v>
      </c>
      <c r="F18" s="203"/>
      <c r="G18" s="203"/>
      <c r="H18" s="203">
        <v>6</v>
      </c>
      <c r="I18" s="267">
        <v>36</v>
      </c>
      <c r="J18" s="267"/>
      <c r="K18" s="267"/>
      <c r="L18" s="267"/>
      <c r="M18" s="267"/>
      <c r="N18" s="279">
        <f>D18+(E18*I18)+(F18*O18)</f>
        <v>1296</v>
      </c>
      <c r="O18" s="279"/>
      <c r="P18" s="274">
        <v>36</v>
      </c>
      <c r="Q18" s="274"/>
      <c r="R18" s="274"/>
      <c r="S18" s="274"/>
      <c r="T18" s="273">
        <f>E18*I18</f>
        <v>1296</v>
      </c>
      <c r="U18" s="274"/>
      <c r="V18" s="274"/>
      <c r="W18" s="274"/>
      <c r="X18" s="3">
        <f t="shared" si="1"/>
        <v>1296</v>
      </c>
      <c r="Y18" s="3">
        <f>N18+X18</f>
        <v>2592</v>
      </c>
      <c r="Z18" s="19">
        <f>Y18*$O$3</f>
        <v>1114103.808</v>
      </c>
      <c r="AA18" s="3">
        <f t="shared" si="4"/>
        <v>0</v>
      </c>
      <c r="AB18" s="3">
        <f t="shared" si="5"/>
        <v>0</v>
      </c>
      <c r="AC18" s="3">
        <f t="shared" si="6"/>
        <v>0</v>
      </c>
      <c r="AE18" s="205"/>
      <c r="AF18" s="42"/>
      <c r="AG18" s="185"/>
      <c r="AH18" s="1"/>
      <c r="AI18" s="1"/>
    </row>
    <row r="19" spans="1:36" x14ac:dyDescent="0.25">
      <c r="A19" s="1"/>
      <c r="B19" s="3"/>
      <c r="C19" s="1"/>
      <c r="D19" s="280"/>
      <c r="E19" s="280"/>
      <c r="F19" s="280"/>
      <c r="G19" s="280"/>
      <c r="H19" s="279"/>
      <c r="I19" s="280"/>
      <c r="J19" s="280"/>
      <c r="K19" s="279"/>
      <c r="L19" s="279"/>
      <c r="M19" s="279"/>
      <c r="N19" s="279"/>
      <c r="O19" s="279"/>
      <c r="P19" s="279"/>
      <c r="Q19" s="279"/>
      <c r="R19" s="279"/>
      <c r="S19" s="279"/>
      <c r="T19" s="185"/>
      <c r="U19" s="279"/>
      <c r="V19" s="279"/>
      <c r="W19" s="279"/>
      <c r="X19" s="3"/>
      <c r="Y19" s="3"/>
      <c r="Z19" s="19"/>
      <c r="AA19" s="19"/>
      <c r="AB19" s="3"/>
      <c r="AC19" s="3"/>
      <c r="AE19" s="205"/>
      <c r="AF19" s="42"/>
      <c r="AG19" s="185"/>
      <c r="AH19" s="1"/>
      <c r="AI19" s="1"/>
    </row>
    <row r="20" spans="1:36" x14ac:dyDescent="0.25">
      <c r="A20" s="14" t="s">
        <v>14</v>
      </c>
      <c r="B20" s="3"/>
      <c r="C20" s="1"/>
      <c r="D20" s="280"/>
      <c r="E20" s="280"/>
      <c r="F20" s="280"/>
      <c r="G20" s="280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185"/>
      <c r="U20" s="279"/>
      <c r="V20" s="279"/>
      <c r="W20" s="279"/>
      <c r="X20" s="3"/>
      <c r="Y20" s="3"/>
      <c r="Z20" s="19"/>
      <c r="AA20" s="19"/>
      <c r="AB20" s="3"/>
      <c r="AC20" s="3"/>
      <c r="AE20" s="205"/>
      <c r="AF20" s="42"/>
      <c r="AG20" s="185"/>
      <c r="AH20" s="1"/>
      <c r="AI20" s="1"/>
    </row>
    <row r="21" spans="1:36" x14ac:dyDescent="0.25">
      <c r="A21" s="2" t="s">
        <v>312</v>
      </c>
      <c r="B21" s="3"/>
      <c r="C21" s="1"/>
      <c r="D21" s="280"/>
      <c r="E21" s="280"/>
      <c r="F21" s="280"/>
      <c r="G21" s="280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185"/>
      <c r="U21" s="279"/>
      <c r="V21" s="279"/>
      <c r="W21" s="279"/>
      <c r="X21" s="3"/>
      <c r="Y21" s="3"/>
      <c r="Z21" s="19"/>
      <c r="AA21" s="19"/>
      <c r="AB21" s="3"/>
      <c r="AC21" s="3"/>
      <c r="AE21" s="205"/>
      <c r="AF21" s="42"/>
      <c r="AG21" s="58"/>
      <c r="AH21" s="1"/>
      <c r="AI21" s="1"/>
    </row>
    <row r="22" spans="1:36" x14ac:dyDescent="0.25">
      <c r="A22" s="1" t="s">
        <v>313</v>
      </c>
      <c r="B22" s="3">
        <f t="shared" ref="B22:B27" si="7">Y22+(AB22+AC22)/$I$3</f>
        <v>287.2</v>
      </c>
      <c r="C22" s="3">
        <f t="shared" ref="C22:C27" si="8">Z22+AA22+AB22+AC22</f>
        <v>718000</v>
      </c>
      <c r="D22" s="202">
        <v>14</v>
      </c>
      <c r="E22" s="202">
        <v>16</v>
      </c>
      <c r="F22" s="202"/>
      <c r="G22" s="202"/>
      <c r="H22" s="203">
        <v>24</v>
      </c>
      <c r="I22" s="268">
        <v>6</v>
      </c>
      <c r="J22" s="268">
        <v>0</v>
      </c>
      <c r="K22" s="267"/>
      <c r="L22" s="267">
        <v>1</v>
      </c>
      <c r="M22" s="267">
        <v>3</v>
      </c>
      <c r="N22" s="279">
        <f t="shared" ref="N22:N27" si="9">D22+(E22*I22)</f>
        <v>110</v>
      </c>
      <c r="O22" s="274">
        <f>+IF(F22&gt;0,$D$3/#REF!,0)</f>
        <v>0</v>
      </c>
      <c r="P22" s="274">
        <v>5</v>
      </c>
      <c r="Q22" s="274">
        <v>1</v>
      </c>
      <c r="R22" s="274"/>
      <c r="S22" s="274"/>
      <c r="T22" s="273">
        <f>D22+(E22*I22)</f>
        <v>110</v>
      </c>
      <c r="U22" s="274"/>
      <c r="V22" s="274">
        <v>1</v>
      </c>
      <c r="W22" s="274">
        <v>3</v>
      </c>
      <c r="X22" s="3">
        <f>D22+(E22*P22)</f>
        <v>94</v>
      </c>
      <c r="Y22" s="3">
        <f t="shared" ref="Y22:Y25" si="10">T22+X22</f>
        <v>204</v>
      </c>
      <c r="Z22" s="19">
        <f t="shared" ref="Z22:Z27" si="11">Y22*$I$3</f>
        <v>510000</v>
      </c>
      <c r="AA22" s="3">
        <f t="shared" ref="AA22:AA27" si="12">(K22+U22)*$K$4*$D$3</f>
        <v>0</v>
      </c>
      <c r="AB22" s="3">
        <f t="shared" ref="AB22:AC27" si="13">(L22+V22)*$K$4*$D$3*0.5</f>
        <v>52000</v>
      </c>
      <c r="AC22" s="3">
        <f t="shared" si="13"/>
        <v>156000</v>
      </c>
      <c r="AE22" s="205">
        <f>D21*$AF$6*2</f>
        <v>0</v>
      </c>
      <c r="AF22" s="42">
        <f>IF(AG22&gt;0,(Y22-D22*2)*(J22+Q22)/(I22+P22),0)</f>
        <v>16</v>
      </c>
      <c r="AG22" s="185">
        <f>SUM(Q22,J22)</f>
        <v>1</v>
      </c>
      <c r="AH22" s="1"/>
      <c r="AI22" s="1"/>
    </row>
    <row r="23" spans="1:36" x14ac:dyDescent="0.25">
      <c r="A23" s="1" t="s">
        <v>314</v>
      </c>
      <c r="B23" s="3">
        <f t="shared" si="7"/>
        <v>253.6</v>
      </c>
      <c r="C23" s="3">
        <f t="shared" si="8"/>
        <v>634000</v>
      </c>
      <c r="D23" s="202">
        <v>18</v>
      </c>
      <c r="E23" s="202">
        <v>16</v>
      </c>
      <c r="F23" s="202"/>
      <c r="G23" s="202"/>
      <c r="H23" s="203">
        <v>40</v>
      </c>
      <c r="I23" s="268">
        <v>6</v>
      </c>
      <c r="J23" s="268">
        <v>0</v>
      </c>
      <c r="K23" s="267"/>
      <c r="L23" s="267">
        <v>1</v>
      </c>
      <c r="M23" s="267">
        <v>1</v>
      </c>
      <c r="N23" s="279">
        <f t="shared" si="9"/>
        <v>114</v>
      </c>
      <c r="O23" s="274">
        <f>+IF(F23&gt;0,$D$3/#REF!,0)</f>
        <v>0</v>
      </c>
      <c r="P23" s="274">
        <v>5</v>
      </c>
      <c r="Q23" s="274">
        <v>2</v>
      </c>
      <c r="R23" s="274"/>
      <c r="S23" s="274"/>
      <c r="T23" s="273">
        <f>D23+(E23*I23)</f>
        <v>114</v>
      </c>
      <c r="U23" s="274"/>
      <c r="V23" s="274">
        <v>1</v>
      </c>
      <c r="W23" s="274">
        <v>1</v>
      </c>
      <c r="X23" s="3">
        <f>D23+(E23*P23)</f>
        <v>98</v>
      </c>
      <c r="Y23" s="3">
        <f t="shared" si="10"/>
        <v>212</v>
      </c>
      <c r="Z23" s="19">
        <f t="shared" si="11"/>
        <v>530000</v>
      </c>
      <c r="AA23" s="3">
        <f t="shared" si="12"/>
        <v>0</v>
      </c>
      <c r="AB23" s="3">
        <f t="shared" si="13"/>
        <v>52000</v>
      </c>
      <c r="AC23" s="3">
        <f t="shared" si="13"/>
        <v>52000</v>
      </c>
      <c r="AE23" s="205">
        <v>0</v>
      </c>
      <c r="AF23" s="42">
        <f>IF(AG23&gt;0,(Y23-D23*2)*(J23+Q23)/(I23+P23),0)</f>
        <v>32</v>
      </c>
      <c r="AG23" s="185">
        <f>SUM(Q23,J23)</f>
        <v>2</v>
      </c>
      <c r="AH23" s="1"/>
      <c r="AI23" s="1"/>
    </row>
    <row r="24" spans="1:36" x14ac:dyDescent="0.25">
      <c r="A24" s="1" t="s">
        <v>315</v>
      </c>
      <c r="B24" s="3">
        <f t="shared" si="7"/>
        <v>288.8</v>
      </c>
      <c r="C24" s="3">
        <f t="shared" si="8"/>
        <v>722000</v>
      </c>
      <c r="D24" s="202">
        <v>24</v>
      </c>
      <c r="E24" s="202">
        <v>20</v>
      </c>
      <c r="F24" s="202"/>
      <c r="G24" s="202"/>
      <c r="H24" s="203">
        <v>40</v>
      </c>
      <c r="I24" s="268">
        <v>6</v>
      </c>
      <c r="J24" s="268">
        <v>3</v>
      </c>
      <c r="K24" s="267"/>
      <c r="L24" s="267">
        <v>0</v>
      </c>
      <c r="M24" s="267">
        <v>1</v>
      </c>
      <c r="N24" s="279">
        <f t="shared" si="9"/>
        <v>144</v>
      </c>
      <c r="O24" s="274">
        <f>+IF(F24&gt;0,$D$3/#REF!,0)</f>
        <v>0</v>
      </c>
      <c r="P24" s="274">
        <v>5</v>
      </c>
      <c r="Q24" s="274">
        <v>3</v>
      </c>
      <c r="R24" s="274"/>
      <c r="S24" s="274"/>
      <c r="T24" s="273">
        <f>D24+(E24*I24)</f>
        <v>144</v>
      </c>
      <c r="U24" s="274"/>
      <c r="V24" s="274">
        <v>0</v>
      </c>
      <c r="W24" s="274">
        <v>1</v>
      </c>
      <c r="X24" s="3">
        <f>D24+(E24*P24)</f>
        <v>124</v>
      </c>
      <c r="Y24" s="3">
        <f t="shared" si="10"/>
        <v>268</v>
      </c>
      <c r="Z24" s="19">
        <f t="shared" si="11"/>
        <v>670000</v>
      </c>
      <c r="AA24" s="3">
        <f t="shared" si="12"/>
        <v>0</v>
      </c>
      <c r="AB24" s="3">
        <f t="shared" si="13"/>
        <v>0</v>
      </c>
      <c r="AC24" s="3">
        <f t="shared" si="13"/>
        <v>52000</v>
      </c>
      <c r="AE24" s="205">
        <v>0</v>
      </c>
      <c r="AF24" s="42">
        <f>IF(AG24&gt;0,(Y24-D24*2)*(J24+Q24)/(I24+P24),0)</f>
        <v>120</v>
      </c>
      <c r="AG24" s="185">
        <f>SUM(Q24,J24)</f>
        <v>6</v>
      </c>
      <c r="AH24" s="1"/>
      <c r="AI24" s="1"/>
    </row>
    <row r="25" spans="1:36" hidden="1" x14ac:dyDescent="0.25">
      <c r="A25" s="1" t="s">
        <v>10</v>
      </c>
      <c r="B25" s="3">
        <f t="shared" si="7"/>
        <v>0</v>
      </c>
      <c r="C25" s="3">
        <f t="shared" si="8"/>
        <v>0</v>
      </c>
      <c r="D25" s="202">
        <v>0</v>
      </c>
      <c r="E25" s="202"/>
      <c r="F25" s="202"/>
      <c r="G25" s="202">
        <v>0</v>
      </c>
      <c r="H25" s="203"/>
      <c r="I25" s="267">
        <v>0</v>
      </c>
      <c r="J25" s="267">
        <v>0</v>
      </c>
      <c r="K25" s="267"/>
      <c r="L25" s="267"/>
      <c r="M25" s="267"/>
      <c r="N25" s="279">
        <f t="shared" si="9"/>
        <v>0</v>
      </c>
      <c r="O25" s="274"/>
      <c r="P25" s="274">
        <v>0</v>
      </c>
      <c r="Q25" s="274">
        <v>0</v>
      </c>
      <c r="R25" s="274">
        <v>0</v>
      </c>
      <c r="S25" s="274">
        <v>0</v>
      </c>
      <c r="T25" s="273">
        <f>G25*R25</f>
        <v>0</v>
      </c>
      <c r="U25" s="274"/>
      <c r="V25" s="274"/>
      <c r="W25" s="274"/>
      <c r="X25" s="3">
        <f>G25*S25</f>
        <v>0</v>
      </c>
      <c r="Y25" s="3">
        <f t="shared" si="10"/>
        <v>0</v>
      </c>
      <c r="Z25" s="19">
        <f t="shared" si="11"/>
        <v>0</v>
      </c>
      <c r="AA25" s="3">
        <f t="shared" si="12"/>
        <v>0</v>
      </c>
      <c r="AB25" s="3">
        <f t="shared" si="13"/>
        <v>0</v>
      </c>
      <c r="AC25" s="3">
        <f t="shared" si="13"/>
        <v>0</v>
      </c>
      <c r="AE25" s="205"/>
      <c r="AF25" s="42"/>
      <c r="AG25" s="185"/>
      <c r="AH25" s="1"/>
      <c r="AI25" s="1"/>
    </row>
    <row r="26" spans="1:36" x14ac:dyDescent="0.25">
      <c r="A26" s="1"/>
      <c r="B26" s="3"/>
      <c r="C26" s="3"/>
      <c r="D26" s="202"/>
      <c r="E26" s="202"/>
      <c r="F26" s="202"/>
      <c r="G26" s="202"/>
      <c r="H26" s="203"/>
      <c r="I26" s="267"/>
      <c r="J26" s="267"/>
      <c r="K26" s="267"/>
      <c r="L26" s="267"/>
      <c r="M26" s="267"/>
      <c r="N26" s="279"/>
      <c r="O26" s="276"/>
      <c r="P26" s="276"/>
      <c r="Q26" s="276"/>
      <c r="R26" s="276"/>
      <c r="S26" s="276"/>
      <c r="T26" s="277"/>
      <c r="U26" s="274"/>
      <c r="V26" s="274"/>
      <c r="W26" s="274"/>
      <c r="X26" s="3"/>
      <c r="Y26" s="20"/>
      <c r="Z26" s="19"/>
      <c r="AA26" s="3"/>
      <c r="AB26" s="3"/>
      <c r="AC26" s="3"/>
      <c r="AE26" s="205"/>
      <c r="AF26" s="42"/>
      <c r="AG26" s="185"/>
      <c r="AH26" s="1"/>
      <c r="AI26" s="1"/>
    </row>
    <row r="27" spans="1:36" ht="30" x14ac:dyDescent="0.25">
      <c r="A27" s="79" t="s">
        <v>372</v>
      </c>
      <c r="B27" s="3">
        <f t="shared" si="7"/>
        <v>24</v>
      </c>
      <c r="C27" s="3">
        <f t="shared" si="8"/>
        <v>60000</v>
      </c>
      <c r="D27" s="202">
        <v>12</v>
      </c>
      <c r="E27" s="202"/>
      <c r="F27" s="202"/>
      <c r="G27" s="202"/>
      <c r="H27" s="203"/>
      <c r="I27" s="269"/>
      <c r="J27" s="269"/>
      <c r="K27" s="267"/>
      <c r="L27" s="267"/>
      <c r="M27" s="267"/>
      <c r="N27" s="279">
        <f t="shared" si="9"/>
        <v>12</v>
      </c>
      <c r="O27" s="276">
        <f>+IF(F27&gt;0,$D$3/#REF!,0)</f>
        <v>0</v>
      </c>
      <c r="P27" s="276"/>
      <c r="Q27" s="276"/>
      <c r="R27" s="276"/>
      <c r="S27" s="276"/>
      <c r="T27" s="277"/>
      <c r="U27" s="274"/>
      <c r="V27" s="274"/>
      <c r="W27" s="274"/>
      <c r="X27" s="3">
        <f>D27+(E27*I27)+(F27*O27)*2</f>
        <v>12</v>
      </c>
      <c r="Y27" s="20">
        <f>X27*2</f>
        <v>24</v>
      </c>
      <c r="Z27" s="19">
        <f t="shared" si="11"/>
        <v>60000</v>
      </c>
      <c r="AA27" s="3">
        <f t="shared" si="12"/>
        <v>0</v>
      </c>
      <c r="AB27" s="3">
        <f t="shared" si="13"/>
        <v>0</v>
      </c>
      <c r="AC27" s="3">
        <f t="shared" si="13"/>
        <v>0</v>
      </c>
      <c r="AE27" s="205"/>
      <c r="AF27" s="42">
        <f>IF(AG27&gt;0,(Y27-D27*2)*(J27+Q27)/(I27+P27),0)</f>
        <v>0</v>
      </c>
      <c r="AG27" s="185">
        <f>SUM(Q27,J27)</f>
        <v>0</v>
      </c>
      <c r="AH27" s="1"/>
      <c r="AI27" s="2"/>
    </row>
    <row r="28" spans="1:36" x14ac:dyDescent="0.25">
      <c r="B28" s="3"/>
      <c r="C28" s="1"/>
      <c r="D28" s="203"/>
      <c r="E28" s="203"/>
      <c r="F28" s="203"/>
      <c r="G28" s="203"/>
      <c r="H28" s="203"/>
      <c r="I28" s="267"/>
      <c r="J28" s="267"/>
      <c r="K28" s="267"/>
      <c r="L28" s="267"/>
      <c r="M28" s="267"/>
      <c r="N28" s="279"/>
      <c r="O28" s="274"/>
      <c r="P28" s="274"/>
      <c r="Q28" s="274"/>
      <c r="R28" s="274"/>
      <c r="S28" s="274"/>
      <c r="T28" s="277"/>
      <c r="U28" s="274"/>
      <c r="V28" s="274"/>
      <c r="W28" s="274"/>
      <c r="X28" s="3"/>
      <c r="Y28" s="20"/>
      <c r="Z28" s="19"/>
      <c r="AA28" s="19"/>
      <c r="AB28" s="3"/>
      <c r="AC28" s="3"/>
      <c r="AE28" s="205"/>
      <c r="AF28" s="42"/>
      <c r="AG28" s="185"/>
      <c r="AH28" s="2"/>
      <c r="AI28" s="1"/>
    </row>
    <row r="29" spans="1:36" ht="45" x14ac:dyDescent="0.25">
      <c r="A29" s="6" t="s">
        <v>21</v>
      </c>
      <c r="B29" s="4">
        <f>SUM(B12:B27)</f>
        <v>4908</v>
      </c>
      <c r="C29" s="4">
        <f>SUM(C12:C27)</f>
        <v>6615261.568</v>
      </c>
      <c r="D29" s="281">
        <f>SUM(D9:D27)</f>
        <v>107</v>
      </c>
      <c r="E29" s="281">
        <f>SUM(E9:E27)</f>
        <v>154</v>
      </c>
      <c r="F29" s="281">
        <f>SUM(F9:F23)</f>
        <v>0</v>
      </c>
      <c r="G29" s="281"/>
      <c r="H29" s="279"/>
      <c r="I29" s="282"/>
      <c r="J29" s="283">
        <f>SUM(J9:J27)</f>
        <v>23</v>
      </c>
      <c r="K29" s="85"/>
      <c r="L29" s="85">
        <f>SUM(L12:L24)</f>
        <v>5</v>
      </c>
      <c r="M29" s="85">
        <f>SUM(M12:M24)</f>
        <v>5</v>
      </c>
      <c r="N29" s="85">
        <f>SUM(N9:N27)</f>
        <v>2377</v>
      </c>
      <c r="O29" s="284"/>
      <c r="P29" s="284"/>
      <c r="Q29" s="283">
        <f>SUM(Q9:Q27)</f>
        <v>25</v>
      </c>
      <c r="R29" s="284"/>
      <c r="S29" s="284"/>
      <c r="T29" s="85">
        <f>SUM(T9:T27)</f>
        <v>2245</v>
      </c>
      <c r="U29" s="85"/>
      <c r="V29" s="85">
        <f>SUM(V12:V24)</f>
        <v>5</v>
      </c>
      <c r="W29" s="85">
        <f>SUM(W12:W24)</f>
        <v>5</v>
      </c>
      <c r="X29" s="85">
        <f>SUM(X9:X27)</f>
        <v>2323</v>
      </c>
      <c r="Y29" s="285">
        <f>SUM(Y9:Y27)</f>
        <v>4700</v>
      </c>
      <c r="Z29" s="286">
        <f>SUM(Z9:Z27)</f>
        <v>5887261.568</v>
      </c>
      <c r="AA29" s="85">
        <f t="shared" ref="AA29:AC29" si="14">SUM(AA12:AA24)</f>
        <v>208000</v>
      </c>
      <c r="AB29" s="85">
        <f t="shared" si="14"/>
        <v>260000</v>
      </c>
      <c r="AC29" s="85">
        <f t="shared" si="14"/>
        <v>260000</v>
      </c>
      <c r="AD29" s="220" t="s">
        <v>220</v>
      </c>
      <c r="AE29" s="2">
        <f>SUM(AE12:AE28)</f>
        <v>0</v>
      </c>
      <c r="AF29" s="2">
        <f>SUM(AF12:AF28)</f>
        <v>618</v>
      </c>
      <c r="AG29" s="2"/>
      <c r="AH29" s="2"/>
      <c r="AI29" s="2">
        <f>AI30/5</f>
        <v>305.88235294117646</v>
      </c>
    </row>
    <row r="30" spans="1:36" s="7" customFormat="1" ht="30" x14ac:dyDescent="0.25">
      <c r="A30" s="6"/>
      <c r="B30" s="4"/>
      <c r="C30" s="2"/>
      <c r="D30" s="204"/>
      <c r="E30" s="204"/>
      <c r="F30" s="204"/>
      <c r="G30" s="204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85"/>
      <c r="U30" s="281"/>
      <c r="V30" s="281"/>
      <c r="W30" s="281"/>
      <c r="X30" s="4"/>
      <c r="Y30" s="4"/>
      <c r="Z30" s="18"/>
      <c r="AA30" s="18"/>
      <c r="AB30" s="4"/>
      <c r="AC30" s="4"/>
      <c r="AD30" s="221" t="s">
        <v>219</v>
      </c>
      <c r="AE30" s="2">
        <f>SUM(AE12:AE28)*5</f>
        <v>0</v>
      </c>
      <c r="AF30" s="2">
        <f>SUM(AF12:AF28)*5</f>
        <v>3090</v>
      </c>
      <c r="AG30" s="85"/>
      <c r="AH30" s="1"/>
      <c r="AI30" s="2">
        <f>(AB29+AC29)/I4</f>
        <v>1529.4117647058824</v>
      </c>
    </row>
    <row r="31" spans="1:36" s="7" customFormat="1" ht="15.75" thickBot="1" x14ac:dyDescent="0.3">
      <c r="A31"/>
      <c r="B31" s="5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 s="5"/>
      <c r="AB31" s="5"/>
      <c r="AC31" s="5"/>
      <c r="AD31"/>
      <c r="AF31" s="1">
        <f>SUM(AE30:AE30)*5</f>
        <v>0</v>
      </c>
      <c r="AG31" s="1"/>
      <c r="AH31" s="1"/>
      <c r="AI31" s="1"/>
      <c r="AJ31" s="1"/>
    </row>
    <row r="32" spans="1:36" ht="16.5" thickBot="1" x14ac:dyDescent="0.3">
      <c r="A32" s="15"/>
      <c r="B32" s="5"/>
      <c r="D32" s="369" t="s">
        <v>319</v>
      </c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1"/>
      <c r="T32" s="113"/>
      <c r="U32" s="113"/>
      <c r="V32" s="113"/>
      <c r="W32" s="113"/>
      <c r="X32" s="113"/>
    </row>
    <row r="33" spans="1:9" x14ac:dyDescent="0.25">
      <c r="A33" s="109"/>
      <c r="B33" s="109"/>
      <c r="C33" s="109"/>
    </row>
    <row r="34" spans="1:9" x14ac:dyDescent="0.25">
      <c r="B34" s="109"/>
      <c r="C34" s="109"/>
    </row>
    <row r="44" spans="1:9" x14ac:dyDescent="0.25">
      <c r="I44" s="5"/>
    </row>
  </sheetData>
  <sheetProtection algorithmName="SHA-512" hashValue="7nAlC/lOB8TcR6d5iEFuXNsEtz00kR6A4QFKHHBOpr/KWZCXWXluwCWiUE4hnFqnqg1a2ZelrHhTg+DltAIOcQ==" saltValue="A/7lbXV9VCZlZWuW9uE4yA==" spinCount="100000" sheet="1" selectLockedCells="1"/>
  <customSheetViews>
    <customSheetView guid="{CB7E9FB3-C7A3-44DE-98E4-19C23B487785}" scale="80" fitToPage="1" hiddenRows="1" hiddenColumns="1">
      <pane xSplit="1" topLeftCell="B1" activePane="topRight" state="frozen"/>
      <selection pane="topRight" activeCell="H18" sqref="H18"/>
      <pageMargins left="7.874015748031496E-2" right="7.874015748031496E-2" top="0.74803149606299213" bottom="0.74803149606299213" header="0.31496062992125984" footer="0.31496062992125984"/>
      <pageSetup paperSize="9" scale="39" orientation="landscape" r:id="rId1"/>
      <headerFooter>
        <oddHeader>&amp;C&amp;"-,Fet"&amp;14 1. studieår</oddHeader>
      </headerFooter>
    </customSheetView>
    <customSheetView guid="{0F10E6D6-430E-4539-8602-E1FCB30ABD1B}" scale="80" fitToPage="1" hiddenRows="1" hiddenColumns="1">
      <pane xSplit="1" topLeftCell="B1" activePane="topRight" state="frozen"/>
      <selection pane="topRight" activeCell="H31" sqref="H31"/>
      <pageMargins left="7.874015748031496E-2" right="7.874015748031496E-2" top="0.74803149606299213" bottom="0.74803149606299213" header="0.31496062992125984" footer="0.31496062992125984"/>
      <pageSetup paperSize="9" scale="41" orientation="landscape" r:id="rId2"/>
      <headerFooter>
        <oddHeader>&amp;C&amp;"-,Fet"&amp;14 1. studieår</oddHeader>
      </headerFooter>
    </customSheetView>
    <customSheetView guid="{6A1E5DF8-D380-4588-9B84-662BAE41D0D9}" fitToPage="1" hiddenRows="1" hiddenColumns="1" topLeftCell="A13">
      <pane xSplit="1" topLeftCell="B1" activePane="topRight" state="frozen"/>
      <selection pane="topRight" activeCell="D3" sqref="D3"/>
      <pageMargins left="7.874015748031496E-2" right="7.874015748031496E-2" top="0.74803149606299213" bottom="0.74803149606299213" header="0.31496062992125984" footer="0.31496062992125984"/>
      <pageSetup paperSize="9" scale="92" orientation="landscape" r:id="rId3"/>
      <headerFooter>
        <oddHeader>&amp;C&amp;"-,Fet"&amp;14 1. studieår</oddHeader>
      </headerFooter>
    </customSheetView>
    <customSheetView guid="{C3BF634C-AA16-4BD6-93CF-AD12048346B7}" scale="80" fitToPage="1" hiddenRows="1" hiddenColumns="1">
      <pane xSplit="1" topLeftCell="B1" activePane="topRight" state="frozen"/>
      <selection pane="topRight" activeCell="I4" sqref="I4"/>
      <pageMargins left="7.874015748031496E-2" right="7.874015748031496E-2" top="0.74803149606299213" bottom="0.74803149606299213" header="0.31496062992125984" footer="0.31496062992125984"/>
      <pageSetup paperSize="9" scale="39" orientation="landscape" r:id="rId4"/>
      <headerFooter>
        <oddHeader>&amp;C&amp;"-,Fet"&amp;14 1. studieår</oddHeader>
      </headerFooter>
    </customSheetView>
    <customSheetView guid="{2A2C752C-8C42-4F9A-A40C-FE7F7014F210}" fitToPage="1" hiddenRows="1" hiddenColumns="1">
      <pane xSplit="1" topLeftCell="K1" activePane="topRight" state="frozen"/>
      <selection pane="topRight" activeCell="O14" sqref="O14"/>
      <pageMargins left="7.874015748031496E-2" right="7.874015748031496E-2" top="0.74803149606299213" bottom="0.74803149606299213" header="0.31496062992125984" footer="0.31496062992125984"/>
      <pageSetup paperSize="9" scale="92" orientation="landscape" r:id="rId5"/>
      <headerFooter>
        <oddHeader>&amp;C&amp;"-,Fet"&amp;14 1. studieår</oddHeader>
      </headerFooter>
    </customSheetView>
    <customSheetView guid="{AC2983A2-F978-40B7-A196-35F34E705157}" fitToPage="1" hiddenRows="1" hiddenColumns="1">
      <pane xSplit="1" topLeftCell="K1" activePane="topRight" state="frozen"/>
      <selection pane="topRight" activeCell="O14" sqref="O14"/>
      <pageMargins left="7.874015748031496E-2" right="7.874015748031496E-2" top="0.74803149606299213" bottom="0.74803149606299213" header="0.31496062992125984" footer="0.31496062992125984"/>
      <pageSetup paperSize="9" scale="92" orientation="landscape" r:id="rId6"/>
      <headerFooter>
        <oddHeader>&amp;C&amp;"-,Fet"&amp;14 1. studieår</oddHeader>
      </headerFooter>
    </customSheetView>
    <customSheetView guid="{749D43A3-052D-442F-AE88-F6CCB83A1282}" fitToPage="1" hiddenColumns="1" topLeftCell="A9">
      <pane xSplit="1" topLeftCell="U1" activePane="topRight" state="frozen"/>
      <selection pane="topRight" activeCell="H20" sqref="H20"/>
      <pageMargins left="7.874015748031496E-2" right="7.874015748031496E-2" top="0.74803149606299213" bottom="0.74803149606299213" header="0.31496062992125984" footer="0.31496062992125984"/>
      <pageSetup paperSize="9" scale="92" orientation="landscape" r:id="rId7"/>
      <headerFooter>
        <oddHeader>&amp;C&amp;"-,Fet"&amp;14 1. studieår</oddHeader>
      </headerFooter>
    </customSheetView>
    <customSheetView guid="{F38A39FA-EF57-4062-A2AD-F3BEB88C5762}" fitToPage="1" hiddenColumns="1">
      <pane xSplit="1" topLeftCell="P1" activePane="topRight" state="frozen"/>
      <selection pane="topRight" activeCell="AE17" sqref="AE17"/>
      <pageMargins left="7.874015748031496E-2" right="7.874015748031496E-2" top="0.74803149606299213" bottom="0.74803149606299213" header="0.31496062992125984" footer="0.31496062992125984"/>
      <pageSetup paperSize="9" scale="92" orientation="landscape" r:id="rId8"/>
      <headerFooter>
        <oddHeader>&amp;C&amp;"-,Fet"&amp;14 1. studieår</oddHeader>
      </headerFooter>
    </customSheetView>
    <customSheetView guid="{83C69039-3E29-46E1-85FB-B9165E0BFA91}" fitToPage="1" hiddenColumns="1" topLeftCell="A4">
      <pane xSplit="1" topLeftCell="B1" activePane="topRight" state="frozen"/>
      <selection pane="topRight" activeCell="M4" sqref="M1:M1048576"/>
      <pageMargins left="7.874015748031496E-2" right="7.874015748031496E-2" top="0.74803149606299213" bottom="0.74803149606299213" header="0.31496062992125984" footer="0.31496062992125984"/>
      <pageSetup paperSize="9" scale="41" orientation="landscape" r:id="rId9"/>
      <headerFooter>
        <oddHeader>&amp;C&amp;"-,Fet"&amp;14 1. studieår</oddHeader>
      </headerFooter>
    </customSheetView>
    <customSheetView guid="{C1FECEF4-D739-4F39-9B89-CF4C04A77A9B}" fitToPage="1" hiddenRows="1" hiddenColumns="1" topLeftCell="A11">
      <pane xSplit="1" topLeftCell="K1" activePane="topRight" state="frozen"/>
      <selection pane="topRight" activeCell="AE23" sqref="AE23"/>
      <pageMargins left="7.874015748031496E-2" right="7.874015748031496E-2" top="0.74803149606299213" bottom="0.74803149606299213" header="0.31496062992125984" footer="0.31496062992125984"/>
      <pageSetup paperSize="9" scale="92" orientation="landscape" r:id="rId10"/>
      <headerFooter>
        <oddHeader>&amp;C&amp;"-,Fet"&amp;14 1. studieår</oddHeader>
      </headerFooter>
    </customSheetView>
    <customSheetView guid="{91227156-ECBD-48FD-8964-78F3608400FC}" fitToPage="1" hiddenRows="1" hiddenColumns="1" topLeftCell="A11">
      <selection activeCell="R5" sqref="R5:V5"/>
      <pageMargins left="7.874015748031496E-2" right="7.874015748031496E-2" top="0.74803149606299213" bottom="0.74803149606299213" header="0.31496062992125984" footer="0.31496062992125984"/>
      <pageSetup paperSize="9" scale="92" orientation="landscape" r:id="rId11"/>
      <headerFooter>
        <oddHeader>&amp;C&amp;"-,Fet"&amp;14 1. studieår</oddHeader>
      </headerFooter>
    </customSheetView>
    <customSheetView guid="{B76C0EA9-E79B-4DA2-9ADE-66DB47109F8F}" fitToPage="1" hiddenRows="1" hiddenColumns="1" topLeftCell="A14">
      <selection activeCell="R5" sqref="R5:V5"/>
      <pageMargins left="7.874015748031496E-2" right="7.874015748031496E-2" top="0.74803149606299213" bottom="0.74803149606299213" header="0.31496062992125984" footer="0.31496062992125984"/>
      <pageSetup paperSize="9" scale="92" orientation="landscape" r:id="rId12"/>
      <headerFooter>
        <oddHeader>&amp;C&amp;"-,Fet"&amp;14 1. studieår</oddHeader>
      </headerFooter>
    </customSheetView>
    <customSheetView guid="{726FF687-50E0-4F8A-BCCB-6DA9E6D367D4}" fitToPage="1" hiddenRows="1" hiddenColumns="1">
      <pane xSplit="1" topLeftCell="K1" activePane="topRight" state="frozen"/>
      <selection pane="topRight" activeCell="AE23" sqref="AE23"/>
      <pageMargins left="7.874015748031496E-2" right="7.874015748031496E-2" top="0.74803149606299213" bottom="0.74803149606299213" header="0.31496062992125984" footer="0.31496062992125984"/>
      <pageSetup paperSize="9" scale="92" orientation="landscape" r:id="rId13"/>
      <headerFooter>
        <oddHeader>&amp;C&amp;"-,Fet"&amp;14 1. studieår</oddHeader>
      </headerFooter>
    </customSheetView>
    <customSheetView guid="{BB9ED292-532F-438C-A4A6-F8D66D70E0E7}" fitToPage="1" hiddenRows="1" hiddenColumns="1" topLeftCell="A8">
      <pane xSplit="1" topLeftCell="K1" activePane="topRight" state="frozen"/>
      <selection pane="topRight" activeCell="AE23" sqref="AE23"/>
      <pageMargins left="7.874015748031496E-2" right="7.874015748031496E-2" top="0.74803149606299213" bottom="0.74803149606299213" header="0.31496062992125984" footer="0.31496062992125984"/>
      <pageSetup paperSize="9" scale="92" orientation="landscape" r:id="rId14"/>
      <headerFooter>
        <oddHeader>&amp;C&amp;"-,Fet"&amp;14 1. studieår</oddHeader>
      </headerFooter>
    </customSheetView>
    <customSheetView guid="{7AE955BB-7BF8-4CA4-ABF1-6A0BB53A48AD}" fitToPage="1" hiddenRows="1" hiddenColumns="1" topLeftCell="A2">
      <selection activeCell="O24" sqref="O24"/>
      <pageMargins left="7.874015748031496E-2" right="7.874015748031496E-2" top="0.74803149606299213" bottom="0.74803149606299213" header="0.31496062992125984" footer="0.31496062992125984"/>
      <pageSetup paperSize="9" scale="92" orientation="landscape" r:id="rId15"/>
      <headerFooter>
        <oddHeader>&amp;C&amp;"-,Fet"&amp;14 1. studieår</oddHeader>
      </headerFooter>
    </customSheetView>
    <customSheetView guid="{43EFFC0A-CCC0-43DD-A273-4AF58757EC00}" fitToPage="1" hiddenColumns="1">
      <pane xSplit="1" topLeftCell="P1" activePane="topRight" state="frozen"/>
      <selection pane="topRight" activeCell="AE17" sqref="AE17"/>
      <pageMargins left="7.874015748031496E-2" right="7.874015748031496E-2" top="0.74803149606299213" bottom="0.74803149606299213" header="0.31496062992125984" footer="0.31496062992125984"/>
      <pageSetup paperSize="9" scale="92" orientation="landscape" r:id="rId16"/>
      <headerFooter>
        <oddHeader>&amp;C&amp;"-,Fet"&amp;14 1. studieår</oddHeader>
      </headerFooter>
    </customSheetView>
    <customSheetView guid="{E5349645-7714-4437-B9BC-26ED822E5BC5}" fitToPage="1" hiddenRows="1" hiddenColumns="1" topLeftCell="A2">
      <pane xSplit="1" topLeftCell="B1" activePane="topRight" state="frozen"/>
      <selection pane="topRight" activeCell="O8" sqref="O8"/>
      <pageMargins left="7.874015748031496E-2" right="7.874015748031496E-2" top="0.74803149606299213" bottom="0.74803149606299213" header="0.31496062992125984" footer="0.31496062992125984"/>
      <pageSetup paperSize="9" scale="92" orientation="landscape" r:id="rId17"/>
      <headerFooter>
        <oddHeader>&amp;C&amp;"-,Fet"&amp;14 1. studieår</oddHeader>
      </headerFooter>
    </customSheetView>
    <customSheetView guid="{46AB9545-8BEE-4A2F-B820-9F80AC24A11B}" fitToPage="1" hiddenRows="1" hiddenColumns="1" topLeftCell="A4">
      <pane xSplit="7" ySplit="5" topLeftCell="J12" activePane="bottomRight" state="frozen"/>
      <selection pane="bottomRight" activeCell="L18" sqref="L18"/>
      <pageMargins left="7.874015748031496E-2" right="7.874015748031496E-2" top="0.74803149606299213" bottom="0.74803149606299213" header="0.31496062992125984" footer="0.31496062992125984"/>
      <pageSetup paperSize="9" scale="92" orientation="landscape" r:id="rId18"/>
      <headerFooter>
        <oddHeader>&amp;C&amp;"-,Fet"&amp;14 1. studieår</oddHeader>
      </headerFooter>
    </customSheetView>
    <customSheetView guid="{F727610F-D041-4412-A81F-AFD013C44971}" fitToPage="1" hiddenRows="1" hiddenColumns="1" topLeftCell="A7">
      <pane xSplit="1" topLeftCell="B1" activePane="topRight" state="frozen"/>
      <selection pane="topRight" activeCell="G22" sqref="G22"/>
      <pageMargins left="7.874015748031496E-2" right="7.874015748031496E-2" top="0.74803149606299213" bottom="0.74803149606299213" header="0.31496062992125984" footer="0.31496062992125984"/>
      <pageSetup paperSize="9" scale="92" orientation="landscape" r:id="rId19"/>
      <headerFooter>
        <oddHeader>&amp;C&amp;"-,Fet"&amp;14 1. studieår</oddHeader>
      </headerFooter>
    </customSheetView>
    <customSheetView guid="{F170D8DF-3539-4353-BD8B-1F5EB452DAE5}" fitToPage="1" hiddenRows="1" hiddenColumns="1" topLeftCell="A4">
      <pane xSplit="7" ySplit="5" topLeftCell="H9" activePane="bottomRight" state="frozen"/>
      <selection pane="bottomRight" activeCell="L18" sqref="L18"/>
      <pageMargins left="7.874015748031496E-2" right="7.874015748031496E-2" top="0.74803149606299213" bottom="0.74803149606299213" header="0.31496062992125984" footer="0.31496062992125984"/>
      <pageSetup paperSize="9" scale="92" orientation="landscape" r:id="rId20"/>
      <headerFooter>
        <oddHeader>&amp;C&amp;"-,Fet"&amp;14 1. studieår</oddHeader>
      </headerFooter>
    </customSheetView>
    <customSheetView guid="{1283C6B5-B05C-447B-8854-CDB081C03FD4}" scale="80" fitToPage="1" hiddenRows="1" hiddenColumns="1">
      <pane xSplit="1" topLeftCell="B1" activePane="topRight" state="frozen"/>
      <selection pane="topRight" activeCell="V15" sqref="V15"/>
      <pageMargins left="7.874015748031496E-2" right="7.874015748031496E-2" top="0.74803149606299213" bottom="0.74803149606299213" header="0.31496062992125984" footer="0.31496062992125984"/>
      <pageSetup paperSize="9" scale="92" orientation="landscape" r:id="rId21"/>
      <headerFooter>
        <oddHeader>&amp;C&amp;"-,Fet"&amp;14 1. studieår</oddHeader>
      </headerFooter>
    </customSheetView>
    <customSheetView guid="{37BC2192-ABF8-4439-93C4-8E65E7EF90F5}" fitToPage="1" hiddenRows="1" hiddenColumns="1" topLeftCell="A13">
      <pane xSplit="1" topLeftCell="B1" activePane="topRight" state="frozen"/>
      <selection pane="topRight" activeCell="D3" sqref="D3"/>
      <pageMargins left="7.874015748031496E-2" right="7.874015748031496E-2" top="0.74803149606299213" bottom="0.74803149606299213" header="0.31496062992125984" footer="0.31496062992125984"/>
      <pageSetup paperSize="9" scale="92" orientation="landscape" r:id="rId22"/>
      <headerFooter>
        <oddHeader>&amp;C&amp;"-,Fet"&amp;14 1. studieår</oddHeader>
      </headerFooter>
    </customSheetView>
    <customSheetView guid="{7084DC93-B2BE-4098-87E1-DAC5FBCE0E0A}" fitToPage="1" hiddenRows="1" hiddenColumns="1" topLeftCell="A13">
      <pane xSplit="1" topLeftCell="B1" activePane="topRight" state="frozen"/>
      <selection pane="topRight" activeCell="D3" sqref="D3"/>
      <pageMargins left="7.874015748031496E-2" right="7.874015748031496E-2" top="0.74803149606299213" bottom="0.74803149606299213" header="0.31496062992125984" footer="0.31496062992125984"/>
      <pageSetup paperSize="9" scale="92" orientation="landscape" r:id="rId23"/>
      <headerFooter>
        <oddHeader>&amp;C&amp;"-,Fet"&amp;14 1. studieår</oddHeader>
      </headerFooter>
    </customSheetView>
    <customSheetView guid="{0E885D9C-CD7C-4655-8709-41793617E0A7}" fitToPage="1" hiddenRows="1" hiddenColumns="1" topLeftCell="A13">
      <pane xSplit="1" topLeftCell="B1" activePane="topRight" state="frozen"/>
      <selection pane="topRight" activeCell="D3" sqref="D3"/>
      <pageMargins left="7.874015748031496E-2" right="7.874015748031496E-2" top="0.74803149606299213" bottom="0.74803149606299213" header="0.31496062992125984" footer="0.31496062992125984"/>
      <pageSetup paperSize="9" scale="92" orientation="landscape" r:id="rId24"/>
      <headerFooter>
        <oddHeader>&amp;C&amp;"-,Fet"&amp;14 1. studieår</oddHeader>
      </headerFooter>
    </customSheetView>
    <customSheetView guid="{B711C9DF-E741-4A27-9293-4E9F012F3AC0}" scale="70" fitToPage="1" hiddenRows="1" hiddenColumns="1">
      <pane xSplit="1" topLeftCell="B1" activePane="topRight" state="frozen"/>
      <selection pane="topRight" activeCell="P17" sqref="P17"/>
      <pageMargins left="7.874015748031496E-2" right="7.874015748031496E-2" top="0.74803149606299213" bottom="0.74803149606299213" header="0.31496062992125984" footer="0.31496062992125984"/>
      <pageSetup paperSize="9" scale="92" orientation="landscape" r:id="rId25"/>
      <headerFooter>
        <oddHeader>&amp;C&amp;"-,Fet"&amp;14 1. studieår</oddHeader>
      </headerFooter>
    </customSheetView>
    <customSheetView guid="{1241DC17-BD41-46C5-9DB1-684763A09F24}" scale="80" fitToPage="1" hiddenRows="1" hiddenColumns="1" topLeftCell="A4">
      <pane xSplit="1" topLeftCell="B1" activePane="topRight" state="frozen"/>
      <selection pane="topRight" activeCell="M4" sqref="M1:M1048576"/>
      <pageMargins left="7.874015748031496E-2" right="7.874015748031496E-2" top="0.74803149606299213" bottom="0.74803149606299213" header="0.31496062992125984" footer="0.31496062992125984"/>
      <pageSetup paperSize="9" scale="41" orientation="landscape" r:id="rId26"/>
      <headerFooter>
        <oddHeader>&amp;C&amp;"-,Fet"&amp;14 1. studieår</oddHeader>
      </headerFooter>
    </customSheetView>
  </customSheetViews>
  <mergeCells count="8">
    <mergeCell ref="AF7:AJ7"/>
    <mergeCell ref="AG4:AJ4"/>
    <mergeCell ref="A1:Z1"/>
    <mergeCell ref="Z3:AA3"/>
    <mergeCell ref="D32:S32"/>
    <mergeCell ref="AG3:AJ3"/>
    <mergeCell ref="D6:AD6"/>
    <mergeCell ref="D7:AD7"/>
  </mergeCells>
  <pageMargins left="7.874015748031496E-2" right="7.874015748031496E-2" top="0.74803149606299213" bottom="0.74803149606299213" header="0.31496062992125984" footer="0.31496062992125984"/>
  <pageSetup paperSize="9" scale="39" orientation="landscape" r:id="rId27"/>
  <headerFooter>
    <oddHeader>&amp;C&amp;"-,Fet"&amp;14 1. studieår</oddHeader>
  </headerFooter>
  <legacy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O34"/>
  <sheetViews>
    <sheetView zoomScale="80" zoomScaleNormal="80" workbookViewId="0">
      <pane xSplit="1" topLeftCell="D1" activePane="topRight" state="frozen"/>
      <selection activeCell="A7" sqref="A7"/>
      <selection pane="topRight" activeCell="G2" sqref="G2"/>
    </sheetView>
  </sheetViews>
  <sheetFormatPr baseColWidth="10" defaultColWidth="11.42578125" defaultRowHeight="15" x14ac:dyDescent="0.25"/>
  <cols>
    <col min="1" max="1" width="45" customWidth="1"/>
    <col min="2" max="2" width="20.140625" customWidth="1"/>
    <col min="3" max="3" width="21.42578125" customWidth="1"/>
    <col min="4" max="4" width="14" customWidth="1"/>
    <col min="5" max="5" width="10.5703125" customWidth="1"/>
    <col min="6" max="6" width="13.5703125" customWidth="1"/>
    <col min="7" max="7" width="10.5703125" customWidth="1"/>
    <col min="8" max="8" width="9.140625" customWidth="1"/>
    <col min="9" max="9" width="10.5703125" customWidth="1"/>
    <col min="10" max="10" width="13.5703125" customWidth="1"/>
    <col min="11" max="11" width="9.140625" customWidth="1"/>
    <col min="12" max="12" width="14.140625" customWidth="1"/>
    <col min="13" max="14" width="9.140625" customWidth="1"/>
    <col min="15" max="15" width="9.5703125" hidden="1" customWidth="1"/>
    <col min="16" max="16" width="11.42578125" customWidth="1"/>
    <col min="17" max="17" width="12.85546875" customWidth="1"/>
    <col min="18" max="18" width="9.5703125" customWidth="1"/>
    <col min="19" max="19" width="13.5703125" customWidth="1"/>
    <col min="20" max="20" width="13.42578125" customWidth="1"/>
    <col min="21" max="21" width="10.42578125" style="5" customWidth="1"/>
    <col min="22" max="22" width="10" style="5" hidden="1" customWidth="1"/>
    <col min="23" max="23" width="9.85546875" style="5" hidden="1" customWidth="1"/>
    <col min="24" max="24" width="9.85546875" style="5" customWidth="1"/>
    <col min="25" max="25" width="14.42578125" style="5" hidden="1" customWidth="1"/>
    <col min="26" max="26" width="14" style="5" hidden="1" customWidth="1"/>
    <col min="27" max="27" width="15.85546875" style="5" customWidth="1"/>
    <col min="28" max="29" width="10" style="5" hidden="1" customWidth="1"/>
    <col min="30" max="30" width="9.5703125" style="5" customWidth="1"/>
    <col min="31" max="31" width="14" style="5" hidden="1" customWidth="1"/>
    <col min="32" max="32" width="11.5703125" style="5" hidden="1" customWidth="1"/>
    <col min="33" max="33" width="14.85546875" customWidth="1"/>
    <col min="34" max="34" width="12.42578125" customWidth="1"/>
    <col min="35" max="35" width="14" customWidth="1"/>
    <col min="36" max="38" width="9.140625" customWidth="1"/>
    <col min="39" max="39" width="14.140625" customWidth="1"/>
    <col min="40" max="260" width="9.140625" customWidth="1"/>
  </cols>
  <sheetData>
    <row r="1" spans="1:41" ht="30" x14ac:dyDescent="0.25">
      <c r="A1" s="140" t="s">
        <v>3</v>
      </c>
      <c r="B1" s="141"/>
      <c r="C1" s="141"/>
      <c r="D1" s="232">
        <v>215</v>
      </c>
      <c r="E1" s="41"/>
      <c r="F1" s="240" t="s">
        <v>5</v>
      </c>
      <c r="G1" s="210">
        <v>2500</v>
      </c>
      <c r="AH1" s="380" t="s">
        <v>57</v>
      </c>
      <c r="AI1" s="381"/>
      <c r="AJ1" s="381"/>
      <c r="AK1" s="381"/>
      <c r="AL1" s="381"/>
      <c r="AM1" s="381"/>
    </row>
    <row r="2" spans="1:41" ht="30" x14ac:dyDescent="0.25">
      <c r="A2" s="320"/>
      <c r="B2" s="320"/>
      <c r="C2" s="320"/>
      <c r="D2" s="321"/>
      <c r="E2" s="41"/>
      <c r="F2" s="240" t="s">
        <v>6</v>
      </c>
      <c r="G2" s="233">
        <v>250</v>
      </c>
      <c r="AH2" s="67" t="s">
        <v>48</v>
      </c>
      <c r="AI2" s="64" t="s">
        <v>44</v>
      </c>
      <c r="AJ2" s="64"/>
      <c r="AK2" s="64" t="s">
        <v>45</v>
      </c>
      <c r="AL2" s="64"/>
      <c r="AM2" s="64" t="s">
        <v>46</v>
      </c>
    </row>
    <row r="3" spans="1:41" s="41" customFormat="1" ht="18.75" x14ac:dyDescent="0.3">
      <c r="A3" s="322" t="s">
        <v>41</v>
      </c>
      <c r="B3" s="287"/>
      <c r="C3" s="287"/>
      <c r="D3" s="46"/>
      <c r="F3" s="13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H3" s="110"/>
      <c r="AI3" s="111"/>
      <c r="AJ3" s="68"/>
      <c r="AK3" s="111"/>
      <c r="AL3" s="68"/>
      <c r="AM3" s="111">
        <v>1</v>
      </c>
    </row>
    <row r="4" spans="1:41" s="41" customFormat="1" ht="18.75" x14ac:dyDescent="0.3">
      <c r="A4" s="323">
        <v>24</v>
      </c>
      <c r="B4" s="287"/>
      <c r="C4" s="287"/>
      <c r="D4" s="383" t="s">
        <v>42</v>
      </c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H4" s="382" t="s">
        <v>265</v>
      </c>
      <c r="AI4" s="382"/>
      <c r="AJ4" s="382"/>
      <c r="AK4" s="382"/>
      <c r="AL4" s="382"/>
      <c r="AM4" s="382"/>
    </row>
    <row r="5" spans="1:41" s="41" customFormat="1" ht="15.75" thickBot="1" x14ac:dyDescent="0.3">
      <c r="D5" s="383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H5" s="244">
        <v>102562201</v>
      </c>
      <c r="AI5" s="250">
        <v>102562202</v>
      </c>
      <c r="AJ5" s="250"/>
      <c r="AK5" s="385"/>
      <c r="AL5" s="385"/>
      <c r="AM5" s="244">
        <v>102562204</v>
      </c>
    </row>
    <row r="6" spans="1:41" s="25" customFormat="1" ht="92.25" customHeight="1" x14ac:dyDescent="0.25">
      <c r="A6" s="48" t="s">
        <v>307</v>
      </c>
      <c r="B6" s="54" t="s">
        <v>108</v>
      </c>
      <c r="C6" s="54" t="s">
        <v>318</v>
      </c>
      <c r="D6" s="49" t="s">
        <v>331</v>
      </c>
      <c r="E6" s="49" t="s">
        <v>332</v>
      </c>
      <c r="F6" s="49" t="s">
        <v>2</v>
      </c>
      <c r="G6" s="265" t="s">
        <v>49</v>
      </c>
      <c r="H6" s="265" t="s">
        <v>200</v>
      </c>
      <c r="I6" s="265" t="s">
        <v>150</v>
      </c>
      <c r="J6" s="265" t="s">
        <v>268</v>
      </c>
      <c r="K6" s="265" t="s">
        <v>152</v>
      </c>
      <c r="L6" s="50" t="s">
        <v>320</v>
      </c>
      <c r="M6" s="271" t="s">
        <v>210</v>
      </c>
      <c r="N6" s="271" t="s">
        <v>202</v>
      </c>
      <c r="O6" s="271" t="s">
        <v>52</v>
      </c>
      <c r="P6" s="271" t="s">
        <v>151</v>
      </c>
      <c r="Q6" s="271" t="s">
        <v>269</v>
      </c>
      <c r="R6" s="271" t="s">
        <v>153</v>
      </c>
      <c r="S6" s="50" t="s">
        <v>316</v>
      </c>
      <c r="T6" s="50" t="s">
        <v>317</v>
      </c>
      <c r="U6" s="84" t="s">
        <v>62</v>
      </c>
      <c r="V6" s="78" t="s">
        <v>150</v>
      </c>
      <c r="W6" s="78" t="s">
        <v>151</v>
      </c>
      <c r="X6" s="54" t="s">
        <v>58</v>
      </c>
      <c r="Y6" s="49" t="s">
        <v>268</v>
      </c>
      <c r="Z6" s="49" t="s">
        <v>269</v>
      </c>
      <c r="AA6" s="54" t="s">
        <v>270</v>
      </c>
      <c r="AB6" s="78" t="s">
        <v>152</v>
      </c>
      <c r="AC6" s="78" t="s">
        <v>153</v>
      </c>
      <c r="AD6" s="54" t="s">
        <v>59</v>
      </c>
      <c r="AE6" s="54" t="s">
        <v>108</v>
      </c>
      <c r="AF6" s="54" t="s">
        <v>146</v>
      </c>
      <c r="AH6" s="217" t="s">
        <v>208</v>
      </c>
      <c r="AI6" s="82" t="s">
        <v>206</v>
      </c>
      <c r="AJ6" s="86" t="s">
        <v>211</v>
      </c>
      <c r="AK6" s="82" t="s">
        <v>218</v>
      </c>
      <c r="AL6" s="86" t="s">
        <v>197</v>
      </c>
      <c r="AM6" s="82" t="s">
        <v>63</v>
      </c>
    </row>
    <row r="7" spans="1:41" s="25" customFormat="1" ht="27" customHeight="1" x14ac:dyDescent="0.25">
      <c r="A7" s="11" t="s">
        <v>321</v>
      </c>
      <c r="B7" s="292">
        <f>(X7+AD7)/$G$1+T7</f>
        <v>275.2</v>
      </c>
      <c r="C7" s="294">
        <f>U7+X7+AA7+AD7</f>
        <v>688000</v>
      </c>
      <c r="D7" s="203">
        <v>21</v>
      </c>
      <c r="E7" s="203">
        <v>18</v>
      </c>
      <c r="F7" s="203">
        <v>35</v>
      </c>
      <c r="G7" s="267">
        <v>6</v>
      </c>
      <c r="H7" s="267">
        <v>4</v>
      </c>
      <c r="I7" s="267">
        <v>1</v>
      </c>
      <c r="J7" s="267"/>
      <c r="K7" s="267"/>
      <c r="L7" s="279">
        <f>D7+(E7*G7)</f>
        <v>129</v>
      </c>
      <c r="M7" s="274">
        <v>6</v>
      </c>
      <c r="N7" s="274">
        <v>4</v>
      </c>
      <c r="O7" s="273">
        <f>D7+(E7*G7)</f>
        <v>129</v>
      </c>
      <c r="P7" s="273">
        <v>1</v>
      </c>
      <c r="Q7" s="273"/>
      <c r="R7" s="273"/>
      <c r="S7" s="3">
        <f>D7+(E7*M7)</f>
        <v>129</v>
      </c>
      <c r="T7" s="3">
        <f>O7+S7</f>
        <v>258</v>
      </c>
      <c r="U7" s="19">
        <f>T7*$G$1</f>
        <v>645000</v>
      </c>
      <c r="V7" s="203">
        <v>1</v>
      </c>
      <c r="W7" s="203">
        <v>1</v>
      </c>
      <c r="X7" s="3">
        <f>(V7+W7)*$G$2*$D$1*0.4</f>
        <v>43000</v>
      </c>
      <c r="Y7" s="3"/>
      <c r="Z7" s="3"/>
      <c r="AA7" s="3"/>
      <c r="AB7" s="203"/>
      <c r="AC7" s="203"/>
      <c r="AD7" s="3">
        <f>(AB7+AC7)*$G$2*$D$1*0.4</f>
        <v>0</v>
      </c>
      <c r="AE7" s="3">
        <f t="shared" ref="AE7:AE15" si="0">(X7+AD7)/$G$1+T7</f>
        <v>275.2</v>
      </c>
      <c r="AF7" s="3"/>
      <c r="AH7" s="206"/>
      <c r="AI7" s="42">
        <f>IF(AJ7&gt;0,(T7-D7*2)*(H7+N7)/(G7+M7),0)</f>
        <v>144</v>
      </c>
      <c r="AJ7" s="185">
        <f>SUM(H7,N7)</f>
        <v>8</v>
      </c>
      <c r="AK7" s="42">
        <f>IF(AL7&gt;0,T7*(#REF!+#REF!)/(#REF!+#REF!),0)</f>
        <v>0</v>
      </c>
      <c r="AL7" s="185"/>
      <c r="AM7" s="1"/>
    </row>
    <row r="8" spans="1:41" x14ac:dyDescent="0.25">
      <c r="A8" s="11" t="s">
        <v>15</v>
      </c>
      <c r="B8" s="292"/>
      <c r="C8" s="290"/>
      <c r="D8" s="203"/>
      <c r="E8" s="203"/>
      <c r="F8" s="203"/>
      <c r="G8" s="297"/>
      <c r="H8" s="297"/>
      <c r="I8" s="297"/>
      <c r="J8" s="297"/>
      <c r="K8" s="297"/>
      <c r="L8" s="299"/>
      <c r="M8" s="300"/>
      <c r="N8" s="300"/>
      <c r="O8" s="275"/>
      <c r="P8" s="275"/>
      <c r="Q8" s="275"/>
      <c r="R8" s="275"/>
      <c r="S8" s="1"/>
      <c r="T8" s="1"/>
      <c r="U8" s="19"/>
      <c r="V8" s="203"/>
      <c r="W8" s="203"/>
      <c r="X8" s="3"/>
      <c r="Y8" s="3"/>
      <c r="Z8" s="3"/>
      <c r="AA8" s="3"/>
      <c r="AB8" s="203"/>
      <c r="AC8" s="203"/>
      <c r="AD8" s="3"/>
      <c r="AE8" s="3">
        <f t="shared" si="0"/>
        <v>0</v>
      </c>
      <c r="AF8" s="3"/>
      <c r="AH8" s="206"/>
      <c r="AI8" s="42"/>
      <c r="AJ8" s="185"/>
      <c r="AK8" s="42"/>
      <c r="AL8" s="185"/>
      <c r="AM8" s="1"/>
    </row>
    <row r="9" spans="1:41" x14ac:dyDescent="0.25">
      <c r="A9" s="11" t="s">
        <v>322</v>
      </c>
      <c r="B9" s="292"/>
      <c r="C9" s="290"/>
      <c r="D9" s="203"/>
      <c r="E9" s="203"/>
      <c r="F9" s="203"/>
      <c r="G9" s="267"/>
      <c r="H9" s="267"/>
      <c r="I9" s="267"/>
      <c r="J9" s="267"/>
      <c r="K9" s="267"/>
      <c r="L9" s="279"/>
      <c r="M9" s="274"/>
      <c r="N9" s="274"/>
      <c r="O9" s="273"/>
      <c r="P9" s="273"/>
      <c r="Q9" s="273"/>
      <c r="R9" s="273"/>
      <c r="S9" s="3"/>
      <c r="T9" s="3"/>
      <c r="U9" s="19"/>
      <c r="V9" s="203"/>
      <c r="W9" s="203"/>
      <c r="X9" s="3"/>
      <c r="Y9" s="3"/>
      <c r="Z9" s="3"/>
      <c r="AA9" s="3"/>
      <c r="AB9" s="203"/>
      <c r="AC9" s="203"/>
      <c r="AD9" s="3"/>
      <c r="AE9" s="3">
        <f t="shared" si="0"/>
        <v>0</v>
      </c>
      <c r="AF9" s="3"/>
      <c r="AH9" s="206"/>
      <c r="AI9" s="42"/>
      <c r="AJ9" s="185"/>
      <c r="AK9" s="42"/>
      <c r="AL9" s="185"/>
      <c r="AM9" s="1"/>
    </row>
    <row r="10" spans="1:41" x14ac:dyDescent="0.25">
      <c r="A10" s="10" t="s">
        <v>323</v>
      </c>
      <c r="B10" s="292">
        <f t="shared" ref="B10:B15" si="1">(X10+AD10)/$G$1+T10</f>
        <v>246.4</v>
      </c>
      <c r="C10" s="294">
        <f t="shared" ref="C10:C15" si="2">U10+X10+AA10+AD10</f>
        <v>616000</v>
      </c>
      <c r="D10" s="203">
        <v>22</v>
      </c>
      <c r="E10" s="203">
        <v>14</v>
      </c>
      <c r="F10" s="203">
        <v>35</v>
      </c>
      <c r="G10" s="267">
        <v>6</v>
      </c>
      <c r="H10" s="267">
        <v>2</v>
      </c>
      <c r="I10" s="267">
        <v>1</v>
      </c>
      <c r="J10" s="267"/>
      <c r="K10" s="267">
        <v>1</v>
      </c>
      <c r="L10" s="279">
        <f t="shared" ref="L10:L15" si="3">D10+(E10*G10)</f>
        <v>106</v>
      </c>
      <c r="M10" s="274">
        <v>6</v>
      </c>
      <c r="N10" s="274">
        <v>2</v>
      </c>
      <c r="O10" s="273">
        <f t="shared" ref="O10:O15" si="4">D10+(E10*G10)</f>
        <v>106</v>
      </c>
      <c r="P10" s="273">
        <v>1</v>
      </c>
      <c r="Q10" s="273"/>
      <c r="R10" s="273">
        <v>1</v>
      </c>
      <c r="S10" s="3">
        <f t="shared" ref="S10:S15" si="5">D10+(E10*M10)</f>
        <v>106</v>
      </c>
      <c r="T10" s="3">
        <f t="shared" ref="T10:T15" si="6">O10+S10</f>
        <v>212</v>
      </c>
      <c r="U10" s="19">
        <f t="shared" ref="U10:U15" si="7">T10*$G$1</f>
        <v>530000</v>
      </c>
      <c r="V10" s="203">
        <v>1</v>
      </c>
      <c r="W10" s="203">
        <v>1</v>
      </c>
      <c r="X10" s="3">
        <f t="shared" ref="X10:X15" si="8">(V10+W10)*$G$2*$D$1*0.4</f>
        <v>43000</v>
      </c>
      <c r="Y10" s="3"/>
      <c r="Z10" s="3"/>
      <c r="AA10" s="3"/>
      <c r="AB10" s="203">
        <v>1</v>
      </c>
      <c r="AC10" s="203">
        <v>1</v>
      </c>
      <c r="AD10" s="3">
        <f t="shared" ref="AD10:AD15" si="9">(AB10+AC10)*$G$2*$D$1*0.4</f>
        <v>43000</v>
      </c>
      <c r="AE10" s="3">
        <f t="shared" si="0"/>
        <v>246.4</v>
      </c>
      <c r="AF10" s="3"/>
      <c r="AH10" s="206">
        <v>4</v>
      </c>
      <c r="AI10" s="42">
        <f t="shared" ref="AI10:AI15" si="10">IF(AJ10&gt;0,(T10-D10*2)*(H10+N10)/(G10+M10),0)</f>
        <v>56</v>
      </c>
      <c r="AJ10" s="185">
        <f t="shared" ref="AJ10:AJ15" si="11">SUM(H10,N10)</f>
        <v>4</v>
      </c>
      <c r="AK10" s="42">
        <f>IF(AL10&gt;0,(#REF!+#REF!)/(#REF!+#REF!)*#REF!*(#REF!+#REF!),0)</f>
        <v>0</v>
      </c>
      <c r="AL10" s="185"/>
      <c r="AM10" s="3"/>
    </row>
    <row r="11" spans="1:41" x14ac:dyDescent="0.25">
      <c r="A11" s="1" t="s">
        <v>324</v>
      </c>
      <c r="B11" s="292">
        <f t="shared" si="1"/>
        <v>161.19999999999999</v>
      </c>
      <c r="C11" s="294">
        <f t="shared" si="2"/>
        <v>403000</v>
      </c>
      <c r="D11" s="202">
        <v>12</v>
      </c>
      <c r="E11" s="202">
        <v>10</v>
      </c>
      <c r="F11" s="203">
        <v>35</v>
      </c>
      <c r="G11" s="268">
        <v>6</v>
      </c>
      <c r="H11" s="268">
        <v>2</v>
      </c>
      <c r="I11" s="268"/>
      <c r="J11" s="268"/>
      <c r="K11" s="268">
        <v>1</v>
      </c>
      <c r="L11" s="279">
        <f t="shared" si="3"/>
        <v>72</v>
      </c>
      <c r="M11" s="274">
        <v>6</v>
      </c>
      <c r="N11" s="274">
        <v>2</v>
      </c>
      <c r="O11" s="273">
        <f t="shared" si="4"/>
        <v>72</v>
      </c>
      <c r="P11" s="273"/>
      <c r="Q11" s="273"/>
      <c r="R11" s="273">
        <v>1</v>
      </c>
      <c r="S11" s="3">
        <f t="shared" si="5"/>
        <v>72</v>
      </c>
      <c r="T11" s="3">
        <f t="shared" si="6"/>
        <v>144</v>
      </c>
      <c r="U11" s="19">
        <f t="shared" si="7"/>
        <v>360000</v>
      </c>
      <c r="V11" s="203"/>
      <c r="W11" s="203"/>
      <c r="X11" s="3">
        <f t="shared" si="8"/>
        <v>0</v>
      </c>
      <c r="Y11" s="3"/>
      <c r="Z11" s="3"/>
      <c r="AA11" s="3"/>
      <c r="AB11" s="203">
        <v>1</v>
      </c>
      <c r="AC11" s="203">
        <v>1</v>
      </c>
      <c r="AD11" s="3">
        <f t="shared" si="9"/>
        <v>43000</v>
      </c>
      <c r="AE11" s="3">
        <f t="shared" si="0"/>
        <v>161.19999999999999</v>
      </c>
      <c r="AF11" s="1"/>
      <c r="AH11" s="205"/>
      <c r="AI11" s="42">
        <f t="shared" si="10"/>
        <v>40</v>
      </c>
      <c r="AJ11" s="185">
        <f t="shared" si="11"/>
        <v>4</v>
      </c>
      <c r="AK11" s="42">
        <f>IF(AL11&gt;0,(#REF!+#REF!)/(#REF!+#REF!)*#REF!*(#REF!+#REF!),0)</f>
        <v>0</v>
      </c>
      <c r="AL11" s="185"/>
      <c r="AM11" s="42"/>
      <c r="AN11" s="3"/>
      <c r="AO11" s="1"/>
    </row>
    <row r="12" spans="1:41" x14ac:dyDescent="0.25">
      <c r="A12" s="10" t="s">
        <v>325</v>
      </c>
      <c r="B12" s="292">
        <f t="shared" si="1"/>
        <v>144</v>
      </c>
      <c r="C12" s="294">
        <f t="shared" si="2"/>
        <v>360000</v>
      </c>
      <c r="D12" s="203">
        <v>12</v>
      </c>
      <c r="E12" s="203">
        <v>10</v>
      </c>
      <c r="F12" s="203">
        <v>35</v>
      </c>
      <c r="G12" s="267">
        <v>6</v>
      </c>
      <c r="H12" s="267">
        <v>2</v>
      </c>
      <c r="I12" s="267"/>
      <c r="J12" s="267"/>
      <c r="K12" s="267"/>
      <c r="L12" s="279">
        <f t="shared" si="3"/>
        <v>72</v>
      </c>
      <c r="M12" s="274">
        <v>6</v>
      </c>
      <c r="N12" s="274">
        <v>2</v>
      </c>
      <c r="O12" s="273">
        <f t="shared" si="4"/>
        <v>72</v>
      </c>
      <c r="P12" s="273"/>
      <c r="Q12" s="273"/>
      <c r="R12" s="273"/>
      <c r="S12" s="3">
        <f t="shared" si="5"/>
        <v>72</v>
      </c>
      <c r="T12" s="3">
        <f t="shared" si="6"/>
        <v>144</v>
      </c>
      <c r="U12" s="19">
        <f t="shared" si="7"/>
        <v>360000</v>
      </c>
      <c r="V12" s="203"/>
      <c r="W12" s="203"/>
      <c r="X12" s="3">
        <f t="shared" si="8"/>
        <v>0</v>
      </c>
      <c r="Y12" s="3"/>
      <c r="Z12" s="3"/>
      <c r="AA12" s="3"/>
      <c r="AB12" s="203"/>
      <c r="AC12" s="203"/>
      <c r="AD12" s="3">
        <f t="shared" si="9"/>
        <v>0</v>
      </c>
      <c r="AE12" s="3">
        <f t="shared" si="0"/>
        <v>144</v>
      </c>
      <c r="AF12" s="3"/>
      <c r="AH12" s="206"/>
      <c r="AI12" s="42">
        <f t="shared" si="10"/>
        <v>40</v>
      </c>
      <c r="AJ12" s="185">
        <f t="shared" si="11"/>
        <v>4</v>
      </c>
      <c r="AK12" s="42">
        <f>IF(AL12&gt;0,(#REF!+#REF!)/(#REF!+#REF!)*#REF!*(#REF!+#REF!),0)</f>
        <v>0</v>
      </c>
      <c r="AL12" s="185"/>
      <c r="AM12" s="3"/>
    </row>
    <row r="13" spans="1:41" x14ac:dyDescent="0.25">
      <c r="A13" s="10" t="s">
        <v>225</v>
      </c>
      <c r="B13" s="292">
        <f t="shared" si="1"/>
        <v>96</v>
      </c>
      <c r="C13" s="294">
        <f t="shared" si="2"/>
        <v>240000</v>
      </c>
      <c r="D13" s="203"/>
      <c r="E13" s="230">
        <v>8</v>
      </c>
      <c r="F13" s="203">
        <v>36</v>
      </c>
      <c r="G13" s="267">
        <v>6</v>
      </c>
      <c r="H13" s="267"/>
      <c r="I13" s="267"/>
      <c r="J13" s="267"/>
      <c r="K13" s="267"/>
      <c r="L13" s="279">
        <f t="shared" si="3"/>
        <v>48</v>
      </c>
      <c r="M13" s="274">
        <v>6</v>
      </c>
      <c r="N13" s="274"/>
      <c r="O13" s="273">
        <f t="shared" si="4"/>
        <v>48</v>
      </c>
      <c r="P13" s="273"/>
      <c r="Q13" s="273"/>
      <c r="R13" s="273"/>
      <c r="S13" s="3">
        <f t="shared" si="5"/>
        <v>48</v>
      </c>
      <c r="T13" s="3">
        <f t="shared" si="6"/>
        <v>96</v>
      </c>
      <c r="U13" s="19">
        <f t="shared" si="7"/>
        <v>240000</v>
      </c>
      <c r="V13" s="203"/>
      <c r="W13" s="203"/>
      <c r="X13" s="3">
        <f t="shared" si="8"/>
        <v>0</v>
      </c>
      <c r="Y13" s="3"/>
      <c r="Z13" s="3"/>
      <c r="AA13" s="3"/>
      <c r="AB13" s="203"/>
      <c r="AC13" s="203"/>
      <c r="AD13" s="3">
        <f t="shared" si="9"/>
        <v>0</v>
      </c>
      <c r="AE13" s="3">
        <f t="shared" si="0"/>
        <v>96</v>
      </c>
      <c r="AF13" s="3"/>
      <c r="AH13" s="206"/>
      <c r="AI13" s="42">
        <f t="shared" si="10"/>
        <v>0</v>
      </c>
      <c r="AJ13" s="185">
        <f t="shared" si="11"/>
        <v>0</v>
      </c>
      <c r="AK13" s="42">
        <f>IF(AL13&gt;0,(#REF!+#REF!)/(#REF!+#REF!)*#REF!*(#REF!+#REF!),0)</f>
        <v>0</v>
      </c>
      <c r="AL13" s="185"/>
      <c r="AM13" s="3"/>
    </row>
    <row r="14" spans="1:41" x14ac:dyDescent="0.25">
      <c r="A14" s="10" t="s">
        <v>9</v>
      </c>
      <c r="B14" s="292">
        <f t="shared" si="1"/>
        <v>76</v>
      </c>
      <c r="C14" s="294">
        <f t="shared" si="2"/>
        <v>190000</v>
      </c>
      <c r="D14" s="203">
        <v>2</v>
      </c>
      <c r="E14" s="203">
        <v>6</v>
      </c>
      <c r="F14" s="203">
        <v>35</v>
      </c>
      <c r="G14" s="267">
        <v>6</v>
      </c>
      <c r="H14" s="267">
        <v>3</v>
      </c>
      <c r="I14" s="267"/>
      <c r="J14" s="267"/>
      <c r="K14" s="267"/>
      <c r="L14" s="279">
        <f t="shared" si="3"/>
        <v>38</v>
      </c>
      <c r="M14" s="274">
        <v>6</v>
      </c>
      <c r="N14" s="274">
        <v>3</v>
      </c>
      <c r="O14" s="273">
        <f t="shared" si="4"/>
        <v>38</v>
      </c>
      <c r="P14" s="273"/>
      <c r="Q14" s="273"/>
      <c r="R14" s="273"/>
      <c r="S14" s="3">
        <f t="shared" si="5"/>
        <v>38</v>
      </c>
      <c r="T14" s="3">
        <f t="shared" si="6"/>
        <v>76</v>
      </c>
      <c r="U14" s="19">
        <f t="shared" si="7"/>
        <v>190000</v>
      </c>
      <c r="V14" s="203"/>
      <c r="W14" s="203"/>
      <c r="X14" s="3">
        <f t="shared" si="8"/>
        <v>0</v>
      </c>
      <c r="Y14" s="3"/>
      <c r="Z14" s="3"/>
      <c r="AA14" s="3"/>
      <c r="AB14" s="203"/>
      <c r="AC14" s="203"/>
      <c r="AD14" s="3">
        <f t="shared" si="9"/>
        <v>0</v>
      </c>
      <c r="AE14" s="3">
        <f t="shared" si="0"/>
        <v>76</v>
      </c>
      <c r="AF14" s="3"/>
      <c r="AH14" s="206"/>
      <c r="AI14" s="42">
        <f t="shared" si="10"/>
        <v>36</v>
      </c>
      <c r="AJ14" s="185">
        <f t="shared" si="11"/>
        <v>6</v>
      </c>
      <c r="AK14" s="42">
        <f>IF(AL14&gt;0,(#REF!+#REF!)/(#REF!+#REF!)*#REF!*(#REF!+#REF!),0)</f>
        <v>0</v>
      </c>
      <c r="AL14" s="185"/>
      <c r="AM14" s="3"/>
    </row>
    <row r="15" spans="1:41" x14ac:dyDescent="0.25">
      <c r="A15" s="10" t="s">
        <v>209</v>
      </c>
      <c r="B15" s="292">
        <f t="shared" si="1"/>
        <v>12</v>
      </c>
      <c r="C15" s="294">
        <f t="shared" si="2"/>
        <v>30000</v>
      </c>
      <c r="D15" s="203">
        <v>6</v>
      </c>
      <c r="E15" s="203"/>
      <c r="F15" s="203"/>
      <c r="G15" s="267"/>
      <c r="H15" s="267"/>
      <c r="I15" s="267"/>
      <c r="J15" s="267"/>
      <c r="K15" s="267"/>
      <c r="L15" s="279">
        <f t="shared" si="3"/>
        <v>6</v>
      </c>
      <c r="M15" s="274"/>
      <c r="N15" s="274"/>
      <c r="O15" s="273">
        <f t="shared" si="4"/>
        <v>6</v>
      </c>
      <c r="P15" s="273"/>
      <c r="Q15" s="273"/>
      <c r="R15" s="273"/>
      <c r="S15" s="3">
        <f t="shared" si="5"/>
        <v>6</v>
      </c>
      <c r="T15" s="3">
        <f t="shared" si="6"/>
        <v>12</v>
      </c>
      <c r="U15" s="19">
        <f t="shared" si="7"/>
        <v>30000</v>
      </c>
      <c r="V15" s="203"/>
      <c r="W15" s="203"/>
      <c r="X15" s="3">
        <f t="shared" si="8"/>
        <v>0</v>
      </c>
      <c r="Y15" s="3"/>
      <c r="Z15" s="3"/>
      <c r="AA15" s="3"/>
      <c r="AB15" s="203"/>
      <c r="AC15" s="203"/>
      <c r="AD15" s="3">
        <f t="shared" si="9"/>
        <v>0</v>
      </c>
      <c r="AE15" s="3">
        <f t="shared" si="0"/>
        <v>12</v>
      </c>
      <c r="AF15" s="3"/>
      <c r="AH15" s="206"/>
      <c r="AI15" s="42">
        <f t="shared" si="10"/>
        <v>0</v>
      </c>
      <c r="AJ15" s="185">
        <f t="shared" si="11"/>
        <v>0</v>
      </c>
      <c r="AK15" s="42">
        <f>IF(AL15&gt;0,(#REF!+#REF!)/(#REF!+#REF!)*#REF!*(#REF!+#REF!),0)</f>
        <v>0</v>
      </c>
      <c r="AL15" s="185"/>
      <c r="AM15" s="3"/>
    </row>
    <row r="16" spans="1:41" x14ac:dyDescent="0.25">
      <c r="A16" s="12"/>
      <c r="B16" s="293"/>
      <c r="C16" s="291"/>
      <c r="D16" s="203"/>
      <c r="E16" s="203"/>
      <c r="F16" s="203"/>
      <c r="G16" s="267"/>
      <c r="H16" s="267"/>
      <c r="I16" s="267"/>
      <c r="J16" s="267"/>
      <c r="K16" s="267"/>
      <c r="L16" s="279"/>
      <c r="M16" s="274"/>
      <c r="N16" s="274"/>
      <c r="O16" s="273"/>
      <c r="P16" s="273"/>
      <c r="Q16" s="273"/>
      <c r="R16" s="273"/>
      <c r="S16" s="3"/>
      <c r="T16" s="3"/>
      <c r="U16" s="19"/>
      <c r="V16" s="203"/>
      <c r="W16" s="203"/>
      <c r="X16" s="3"/>
      <c r="Y16" s="3"/>
      <c r="Z16" s="3"/>
      <c r="AA16" s="3"/>
      <c r="AB16" s="203"/>
      <c r="AC16" s="203"/>
      <c r="AD16" s="3"/>
      <c r="AE16" s="3"/>
      <c r="AF16" s="3"/>
      <c r="AH16" s="206"/>
      <c r="AI16" s="42"/>
      <c r="AJ16" s="185"/>
      <c r="AK16" s="42"/>
      <c r="AL16" s="185"/>
      <c r="AM16" s="1"/>
    </row>
    <row r="17" spans="1:39" x14ac:dyDescent="0.25">
      <c r="A17" s="11" t="s">
        <v>16</v>
      </c>
      <c r="B17" s="292"/>
      <c r="C17" s="290"/>
      <c r="D17" s="203"/>
      <c r="E17" s="203"/>
      <c r="F17" s="203"/>
      <c r="G17" s="267"/>
      <c r="H17" s="267"/>
      <c r="I17" s="267"/>
      <c r="J17" s="267"/>
      <c r="K17" s="267"/>
      <c r="L17" s="279"/>
      <c r="M17" s="274"/>
      <c r="N17" s="274"/>
      <c r="O17" s="273"/>
      <c r="P17" s="273"/>
      <c r="Q17" s="273"/>
      <c r="R17" s="273"/>
      <c r="S17" s="3"/>
      <c r="T17" s="3"/>
      <c r="U17" s="19"/>
      <c r="V17" s="203"/>
      <c r="W17" s="203"/>
      <c r="X17" s="3"/>
      <c r="Y17" s="3"/>
      <c r="Z17" s="3"/>
      <c r="AA17" s="3"/>
      <c r="AB17" s="203"/>
      <c r="AC17" s="203"/>
      <c r="AD17" s="3"/>
      <c r="AE17" s="3">
        <f t="shared" ref="AE17:AE25" si="12">(X17+AD17)/$G$1+T17</f>
        <v>0</v>
      </c>
      <c r="AF17" s="3"/>
      <c r="AH17" s="206"/>
      <c r="AI17" s="42"/>
      <c r="AJ17" s="185"/>
      <c r="AK17" s="42"/>
      <c r="AL17" s="185"/>
      <c r="AM17" s="1"/>
    </row>
    <row r="18" spans="1:39" x14ac:dyDescent="0.25">
      <c r="A18" s="11" t="s">
        <v>326</v>
      </c>
      <c r="B18" s="292"/>
      <c r="C18" s="290"/>
      <c r="D18" s="203"/>
      <c r="E18" s="203"/>
      <c r="F18" s="203"/>
      <c r="G18" s="267"/>
      <c r="H18" s="267"/>
      <c r="I18" s="267"/>
      <c r="J18" s="267"/>
      <c r="K18" s="267"/>
      <c r="L18" s="279"/>
      <c r="M18" s="274"/>
      <c r="N18" s="274"/>
      <c r="O18" s="273"/>
      <c r="P18" s="273"/>
      <c r="Q18" s="273"/>
      <c r="R18" s="273"/>
      <c r="S18" s="3"/>
      <c r="T18" s="3"/>
      <c r="U18" s="19"/>
      <c r="V18" s="203"/>
      <c r="W18" s="203"/>
      <c r="X18" s="3"/>
      <c r="Y18" s="3"/>
      <c r="Z18" s="3"/>
      <c r="AA18" s="3"/>
      <c r="AB18" s="203"/>
      <c r="AC18" s="203"/>
      <c r="AD18" s="3"/>
      <c r="AE18" s="3">
        <f t="shared" si="12"/>
        <v>0</v>
      </c>
      <c r="AF18" s="3"/>
      <c r="AH18" s="206"/>
      <c r="AI18" s="42"/>
      <c r="AJ18" s="185"/>
      <c r="AK18" s="42"/>
      <c r="AL18" s="185"/>
      <c r="AM18" s="1"/>
    </row>
    <row r="19" spans="1:39" x14ac:dyDescent="0.25">
      <c r="A19" s="10" t="s">
        <v>327</v>
      </c>
      <c r="B19" s="292">
        <f t="shared" ref="B19:B27" si="13">(X19+AD19)/$G$1+T19</f>
        <v>262.39999999999998</v>
      </c>
      <c r="C19" s="294">
        <f t="shared" ref="C19:C27" si="14">U19+X19+AA19+AD19</f>
        <v>656000</v>
      </c>
      <c r="D19" s="203">
        <v>18</v>
      </c>
      <c r="E19" s="203">
        <v>16</v>
      </c>
      <c r="F19" s="203">
        <v>35</v>
      </c>
      <c r="G19" s="267">
        <v>6</v>
      </c>
      <c r="H19" s="267">
        <v>2</v>
      </c>
      <c r="I19" s="267">
        <v>1</v>
      </c>
      <c r="J19" s="267"/>
      <c r="K19" s="267">
        <v>1</v>
      </c>
      <c r="L19" s="279">
        <f t="shared" ref="L19:L27" si="15">D19+(E19*G19)</f>
        <v>114</v>
      </c>
      <c r="M19" s="274">
        <v>6</v>
      </c>
      <c r="N19" s="274">
        <v>2</v>
      </c>
      <c r="O19" s="273">
        <f t="shared" ref="O19:O25" si="16">D19+(E19*G19)</f>
        <v>114</v>
      </c>
      <c r="P19" s="273">
        <v>1</v>
      </c>
      <c r="Q19" s="273"/>
      <c r="R19" s="273">
        <v>1</v>
      </c>
      <c r="S19" s="3">
        <f t="shared" ref="S19:S28" si="17">D19+(E19*M19)</f>
        <v>114</v>
      </c>
      <c r="T19" s="3">
        <f t="shared" ref="T19:T28" si="18">O19+S19</f>
        <v>228</v>
      </c>
      <c r="U19" s="19">
        <f t="shared" ref="U19:U26" si="19">T19*$G$1</f>
        <v>570000</v>
      </c>
      <c r="V19" s="203">
        <v>1</v>
      </c>
      <c r="W19" s="203">
        <v>1</v>
      </c>
      <c r="X19" s="3">
        <f t="shared" ref="X19:X28" si="20">(V19+W19)*$G$2*$D$1*0.4</f>
        <v>43000</v>
      </c>
      <c r="Y19" s="3"/>
      <c r="Z19" s="3"/>
      <c r="AA19" s="3"/>
      <c r="AB19" s="203">
        <v>1</v>
      </c>
      <c r="AC19" s="203">
        <v>1</v>
      </c>
      <c r="AD19" s="3">
        <f t="shared" ref="AD19:AD25" si="21">(AB19+AC19)*$G$2*$D$1*0.4</f>
        <v>43000</v>
      </c>
      <c r="AE19" s="3">
        <f t="shared" si="12"/>
        <v>262.39999999999998</v>
      </c>
      <c r="AF19" s="3"/>
      <c r="AH19" s="203">
        <v>8</v>
      </c>
      <c r="AI19" s="42">
        <f t="shared" ref="AI19:AI28" si="22">IF(AJ19&gt;0,(T19-D19*2)*(H19+N19)/(G19+M19),0)</f>
        <v>64</v>
      </c>
      <c r="AJ19" s="185">
        <f t="shared" ref="AJ19:AJ28" si="23">SUM(H19,N19)</f>
        <v>4</v>
      </c>
      <c r="AK19" s="42">
        <f>IF(AL19&gt;0,(#REF!+#REF!)/(#REF!+#REF!)*#REF!*(#REF!+#REF!),0)</f>
        <v>0</v>
      </c>
      <c r="AL19" s="185"/>
      <c r="AM19" s="3"/>
    </row>
    <row r="20" spans="1:39" x14ac:dyDescent="0.25">
      <c r="A20" s="10" t="s">
        <v>328</v>
      </c>
      <c r="B20" s="292">
        <f t="shared" si="13"/>
        <v>128</v>
      </c>
      <c r="C20" s="294">
        <f t="shared" si="14"/>
        <v>320000</v>
      </c>
      <c r="D20" s="203">
        <v>16</v>
      </c>
      <c r="E20" s="203">
        <v>8</v>
      </c>
      <c r="F20" s="203">
        <v>35</v>
      </c>
      <c r="G20" s="267">
        <v>6</v>
      </c>
      <c r="H20" s="267">
        <v>2</v>
      </c>
      <c r="I20" s="267"/>
      <c r="J20" s="267"/>
      <c r="K20" s="267"/>
      <c r="L20" s="279">
        <f t="shared" si="15"/>
        <v>64</v>
      </c>
      <c r="M20" s="274">
        <v>6</v>
      </c>
      <c r="N20" s="274">
        <v>2</v>
      </c>
      <c r="O20" s="273">
        <f t="shared" si="16"/>
        <v>64</v>
      </c>
      <c r="P20" s="273"/>
      <c r="Q20" s="273"/>
      <c r="R20" s="273"/>
      <c r="S20" s="3">
        <f t="shared" si="17"/>
        <v>64</v>
      </c>
      <c r="T20" s="3">
        <f t="shared" si="18"/>
        <v>128</v>
      </c>
      <c r="U20" s="19">
        <f t="shared" si="19"/>
        <v>320000</v>
      </c>
      <c r="V20" s="203"/>
      <c r="W20" s="203"/>
      <c r="X20" s="3">
        <f t="shared" si="20"/>
        <v>0</v>
      </c>
      <c r="Y20" s="3"/>
      <c r="Z20" s="3"/>
      <c r="AA20" s="3"/>
      <c r="AB20" s="203"/>
      <c r="AC20" s="203"/>
      <c r="AD20" s="3">
        <f t="shared" si="21"/>
        <v>0</v>
      </c>
      <c r="AE20" s="3">
        <f t="shared" si="12"/>
        <v>128</v>
      </c>
      <c r="AF20" s="3"/>
      <c r="AH20" s="206"/>
      <c r="AI20" s="42">
        <f t="shared" si="22"/>
        <v>32</v>
      </c>
      <c r="AJ20" s="185">
        <f t="shared" si="23"/>
        <v>4</v>
      </c>
      <c r="AK20" s="42">
        <f>IF(AL20&gt;0,(#REF!+#REF!)/(#REF!+#REF!)*#REF!*(#REF!+#REF!),0)</f>
        <v>0</v>
      </c>
      <c r="AL20" s="185"/>
      <c r="AM20" s="3"/>
    </row>
    <row r="21" spans="1:39" x14ac:dyDescent="0.25">
      <c r="A21" s="10" t="s">
        <v>329</v>
      </c>
      <c r="B21" s="292">
        <f t="shared" si="13"/>
        <v>116</v>
      </c>
      <c r="C21" s="294">
        <f t="shared" si="14"/>
        <v>290000</v>
      </c>
      <c r="D21" s="203">
        <v>10</v>
      </c>
      <c r="E21" s="203">
        <v>8</v>
      </c>
      <c r="F21" s="203">
        <v>35</v>
      </c>
      <c r="G21" s="267">
        <v>6</v>
      </c>
      <c r="H21" s="267">
        <v>2</v>
      </c>
      <c r="I21" s="267"/>
      <c r="J21" s="267"/>
      <c r="K21" s="267"/>
      <c r="L21" s="279">
        <f t="shared" si="15"/>
        <v>58</v>
      </c>
      <c r="M21" s="274">
        <v>6</v>
      </c>
      <c r="N21" s="274">
        <v>2</v>
      </c>
      <c r="O21" s="273">
        <f t="shared" si="16"/>
        <v>58</v>
      </c>
      <c r="P21" s="273"/>
      <c r="Q21" s="273"/>
      <c r="R21" s="273"/>
      <c r="S21" s="3">
        <f t="shared" si="17"/>
        <v>58</v>
      </c>
      <c r="T21" s="3">
        <f t="shared" si="18"/>
        <v>116</v>
      </c>
      <c r="U21" s="19">
        <f t="shared" si="19"/>
        <v>290000</v>
      </c>
      <c r="V21" s="203"/>
      <c r="W21" s="203"/>
      <c r="X21" s="3">
        <f t="shared" si="20"/>
        <v>0</v>
      </c>
      <c r="Y21" s="3"/>
      <c r="Z21" s="3"/>
      <c r="AA21" s="3"/>
      <c r="AB21" s="203"/>
      <c r="AC21" s="203"/>
      <c r="AD21" s="3">
        <f t="shared" si="21"/>
        <v>0</v>
      </c>
      <c r="AE21" s="3">
        <f t="shared" si="12"/>
        <v>116</v>
      </c>
      <c r="AF21" s="3"/>
      <c r="AH21" s="206"/>
      <c r="AI21" s="42">
        <f t="shared" si="22"/>
        <v>32</v>
      </c>
      <c r="AJ21" s="185">
        <f t="shared" si="23"/>
        <v>4</v>
      </c>
      <c r="AK21" s="42">
        <f>IF(AL21&gt;0,(#REF!+#REF!)/(#REF!+#REF!)*#REF!*(#REF!+#REF!),0)</f>
        <v>0</v>
      </c>
      <c r="AL21" s="185"/>
      <c r="AM21" s="3"/>
    </row>
    <row r="22" spans="1:39" x14ac:dyDescent="0.25">
      <c r="A22" s="10" t="s">
        <v>330</v>
      </c>
      <c r="B22" s="292">
        <f t="shared" si="13"/>
        <v>116</v>
      </c>
      <c r="C22" s="294">
        <f t="shared" si="14"/>
        <v>290000</v>
      </c>
      <c r="D22" s="203">
        <v>10</v>
      </c>
      <c r="E22" s="203">
        <v>8</v>
      </c>
      <c r="F22" s="203">
        <v>35</v>
      </c>
      <c r="G22" s="267">
        <v>6</v>
      </c>
      <c r="H22" s="267">
        <v>2</v>
      </c>
      <c r="I22" s="267"/>
      <c r="J22" s="267"/>
      <c r="K22" s="267"/>
      <c r="L22" s="279">
        <f t="shared" si="15"/>
        <v>58</v>
      </c>
      <c r="M22" s="274">
        <v>6</v>
      </c>
      <c r="N22" s="274">
        <v>2</v>
      </c>
      <c r="O22" s="273">
        <f t="shared" si="16"/>
        <v>58</v>
      </c>
      <c r="P22" s="273"/>
      <c r="Q22" s="273"/>
      <c r="R22" s="273"/>
      <c r="S22" s="3">
        <f t="shared" si="17"/>
        <v>58</v>
      </c>
      <c r="T22" s="3">
        <f t="shared" si="18"/>
        <v>116</v>
      </c>
      <c r="U22" s="19">
        <f t="shared" si="19"/>
        <v>290000</v>
      </c>
      <c r="V22" s="203"/>
      <c r="W22" s="203"/>
      <c r="X22" s="3">
        <f t="shared" si="20"/>
        <v>0</v>
      </c>
      <c r="Y22" s="3"/>
      <c r="Z22" s="3"/>
      <c r="AA22" s="3"/>
      <c r="AB22" s="203"/>
      <c r="AC22" s="203"/>
      <c r="AD22" s="3">
        <f t="shared" si="21"/>
        <v>0</v>
      </c>
      <c r="AE22" s="3">
        <f t="shared" si="12"/>
        <v>116</v>
      </c>
      <c r="AF22" s="3"/>
      <c r="AH22" s="206"/>
      <c r="AI22" s="42">
        <f t="shared" si="22"/>
        <v>32</v>
      </c>
      <c r="AJ22" s="185">
        <f t="shared" si="23"/>
        <v>4</v>
      </c>
      <c r="AK22" s="42">
        <f>IF(AL22&gt;0,(#REF!+#REF!)/(#REF!+#REF!)*#REF!*(#REF!+#REF!),0)</f>
        <v>0</v>
      </c>
      <c r="AL22" s="185"/>
      <c r="AM22" s="3"/>
    </row>
    <row r="23" spans="1:39" x14ac:dyDescent="0.25">
      <c r="A23" s="10" t="s">
        <v>28</v>
      </c>
      <c r="B23" s="292">
        <f t="shared" si="13"/>
        <v>12</v>
      </c>
      <c r="C23" s="294">
        <f t="shared" si="14"/>
        <v>30000</v>
      </c>
      <c r="D23" s="203">
        <v>6</v>
      </c>
      <c r="E23" s="203"/>
      <c r="F23" s="203"/>
      <c r="G23" s="267"/>
      <c r="H23" s="267"/>
      <c r="I23" s="267"/>
      <c r="J23" s="267"/>
      <c r="K23" s="267"/>
      <c r="L23" s="279">
        <f t="shared" si="15"/>
        <v>6</v>
      </c>
      <c r="M23" s="274"/>
      <c r="N23" s="274"/>
      <c r="O23" s="273">
        <f t="shared" si="16"/>
        <v>6</v>
      </c>
      <c r="P23" s="273"/>
      <c r="Q23" s="273"/>
      <c r="R23" s="273"/>
      <c r="S23" s="3">
        <f t="shared" si="17"/>
        <v>6</v>
      </c>
      <c r="T23" s="3">
        <f t="shared" si="18"/>
        <v>12</v>
      </c>
      <c r="U23" s="19">
        <f t="shared" si="19"/>
        <v>30000</v>
      </c>
      <c r="V23" s="203"/>
      <c r="W23" s="203"/>
      <c r="X23" s="3">
        <f t="shared" si="20"/>
        <v>0</v>
      </c>
      <c r="Y23" s="3"/>
      <c r="Z23" s="3"/>
      <c r="AA23" s="3"/>
      <c r="AB23" s="203"/>
      <c r="AC23" s="203"/>
      <c r="AD23" s="3">
        <f t="shared" si="21"/>
        <v>0</v>
      </c>
      <c r="AE23" s="3">
        <f t="shared" si="12"/>
        <v>12</v>
      </c>
      <c r="AF23" s="3"/>
      <c r="AH23" s="203">
        <v>0</v>
      </c>
      <c r="AI23" s="42">
        <f t="shared" si="22"/>
        <v>0</v>
      </c>
      <c r="AJ23" s="185">
        <f t="shared" si="23"/>
        <v>0</v>
      </c>
      <c r="AK23" s="42">
        <f>IF(AL23&gt;0,(#REF!+#REF!)/(#REF!+#REF!)*#REF!*(#REF!+#REF!),0)</f>
        <v>0</v>
      </c>
      <c r="AL23" s="185"/>
      <c r="AM23" s="3"/>
    </row>
    <row r="24" spans="1:39" x14ac:dyDescent="0.25">
      <c r="A24" s="10" t="s">
        <v>11</v>
      </c>
      <c r="B24" s="292">
        <f t="shared" si="13"/>
        <v>0</v>
      </c>
      <c r="C24" s="294">
        <f t="shared" si="14"/>
        <v>0</v>
      </c>
      <c r="D24" s="203">
        <v>0</v>
      </c>
      <c r="E24" s="203">
        <v>0</v>
      </c>
      <c r="F24" s="203">
        <v>0</v>
      </c>
      <c r="G24" s="267">
        <v>0</v>
      </c>
      <c r="H24" s="267">
        <v>0</v>
      </c>
      <c r="I24" s="267"/>
      <c r="J24" s="267"/>
      <c r="K24" s="267"/>
      <c r="L24" s="279">
        <f t="shared" si="15"/>
        <v>0</v>
      </c>
      <c r="M24" s="274">
        <v>0</v>
      </c>
      <c r="N24" s="274">
        <v>0</v>
      </c>
      <c r="O24" s="273">
        <f t="shared" si="16"/>
        <v>0</v>
      </c>
      <c r="P24" s="273"/>
      <c r="Q24" s="273"/>
      <c r="R24" s="273"/>
      <c r="S24" s="3">
        <f t="shared" si="17"/>
        <v>0</v>
      </c>
      <c r="T24" s="3">
        <f t="shared" si="18"/>
        <v>0</v>
      </c>
      <c r="U24" s="19">
        <f t="shared" si="19"/>
        <v>0</v>
      </c>
      <c r="V24" s="203"/>
      <c r="W24" s="203"/>
      <c r="X24" s="3">
        <f t="shared" si="20"/>
        <v>0</v>
      </c>
      <c r="Y24" s="3"/>
      <c r="Z24" s="3"/>
      <c r="AA24" s="3"/>
      <c r="AB24" s="203"/>
      <c r="AC24" s="203"/>
      <c r="AD24" s="3">
        <f t="shared" si="21"/>
        <v>0</v>
      </c>
      <c r="AE24" s="3">
        <f t="shared" si="12"/>
        <v>0</v>
      </c>
      <c r="AF24" s="3"/>
      <c r="AH24" s="206"/>
      <c r="AI24" s="42">
        <f t="shared" si="22"/>
        <v>0</v>
      </c>
      <c r="AJ24" s="185">
        <f t="shared" si="23"/>
        <v>0</v>
      </c>
      <c r="AK24" s="42">
        <f>IF(AL24&gt;0,(#REF!+#REF!)/(#REF!+#REF!)*#REF!*(#REF!+#REF!),0)</f>
        <v>0</v>
      </c>
      <c r="AL24" s="185"/>
      <c r="AM24" s="3"/>
    </row>
    <row r="25" spans="1:39" x14ac:dyDescent="0.25">
      <c r="A25" s="10" t="s">
        <v>194</v>
      </c>
      <c r="B25" s="292">
        <f t="shared" si="13"/>
        <v>4</v>
      </c>
      <c r="C25" s="294">
        <f t="shared" si="14"/>
        <v>10000</v>
      </c>
      <c r="D25" s="203">
        <v>2</v>
      </c>
      <c r="E25" s="203"/>
      <c r="F25" s="203"/>
      <c r="G25" s="267"/>
      <c r="H25" s="267"/>
      <c r="I25" s="267"/>
      <c r="J25" s="267"/>
      <c r="K25" s="267"/>
      <c r="L25" s="279">
        <f t="shared" si="15"/>
        <v>2</v>
      </c>
      <c r="M25" s="274"/>
      <c r="N25" s="274"/>
      <c r="O25" s="273">
        <f t="shared" si="16"/>
        <v>2</v>
      </c>
      <c r="P25" s="273"/>
      <c r="Q25" s="273"/>
      <c r="R25" s="273"/>
      <c r="S25" s="3">
        <f t="shared" si="17"/>
        <v>2</v>
      </c>
      <c r="T25" s="3">
        <f t="shared" si="18"/>
        <v>4</v>
      </c>
      <c r="U25" s="19">
        <f t="shared" si="19"/>
        <v>10000</v>
      </c>
      <c r="V25" s="203"/>
      <c r="W25" s="203"/>
      <c r="X25" s="3">
        <f t="shared" si="20"/>
        <v>0</v>
      </c>
      <c r="Y25" s="3"/>
      <c r="Z25" s="3"/>
      <c r="AA25" s="3"/>
      <c r="AB25" s="203"/>
      <c r="AC25" s="203"/>
      <c r="AD25" s="3">
        <f t="shared" si="21"/>
        <v>0</v>
      </c>
      <c r="AE25" s="3">
        <f t="shared" si="12"/>
        <v>4</v>
      </c>
      <c r="AF25" s="3"/>
      <c r="AH25" s="206"/>
      <c r="AI25" s="42">
        <f t="shared" si="22"/>
        <v>0</v>
      </c>
      <c r="AJ25" s="185">
        <f t="shared" si="23"/>
        <v>0</v>
      </c>
      <c r="AK25" s="42">
        <f>IF(AL25&gt;0,(#REF!+#REF!)/(#REF!+#REF!)*#REF!*(#REF!+#REF!),0)</f>
        <v>0</v>
      </c>
      <c r="AL25" s="185"/>
      <c r="AM25" s="3"/>
    </row>
    <row r="26" spans="1:39" x14ac:dyDescent="0.25">
      <c r="A26" s="10" t="s">
        <v>9</v>
      </c>
      <c r="B26" s="292">
        <f t="shared" si="13"/>
        <v>2</v>
      </c>
      <c r="C26" s="294">
        <f t="shared" si="14"/>
        <v>5000</v>
      </c>
      <c r="D26" s="203">
        <v>2</v>
      </c>
      <c r="E26" s="203"/>
      <c r="F26" s="203"/>
      <c r="G26" s="267"/>
      <c r="H26" s="267"/>
      <c r="I26" s="267"/>
      <c r="J26" s="267"/>
      <c r="K26" s="267"/>
      <c r="L26" s="279">
        <f t="shared" si="15"/>
        <v>2</v>
      </c>
      <c r="M26" s="274"/>
      <c r="N26" s="274"/>
      <c r="O26" s="273"/>
      <c r="P26" s="273"/>
      <c r="Q26" s="273"/>
      <c r="R26" s="273"/>
      <c r="S26" s="3">
        <f t="shared" si="17"/>
        <v>2</v>
      </c>
      <c r="T26" s="3">
        <f t="shared" si="18"/>
        <v>2</v>
      </c>
      <c r="U26" s="19">
        <f t="shared" si="19"/>
        <v>5000</v>
      </c>
      <c r="V26" s="203"/>
      <c r="W26" s="203"/>
      <c r="X26" s="3">
        <f t="shared" si="20"/>
        <v>0</v>
      </c>
      <c r="Y26" s="3"/>
      <c r="Z26" s="3"/>
      <c r="AA26" s="3"/>
      <c r="AB26" s="203"/>
      <c r="AC26" s="203"/>
      <c r="AD26" s="3"/>
      <c r="AE26" s="3"/>
      <c r="AF26" s="3"/>
      <c r="AH26" s="206"/>
      <c r="AI26" s="42">
        <f t="shared" si="22"/>
        <v>0</v>
      </c>
      <c r="AJ26" s="185">
        <f t="shared" si="23"/>
        <v>0</v>
      </c>
      <c r="AK26" s="42">
        <f>IF(AL26&gt;0,(#REF!+#REF!)/(#REF!+#REF!)*#REF!*(#REF!+#REF!),0)</f>
        <v>0</v>
      </c>
      <c r="AL26" s="185"/>
      <c r="AM26" s="3"/>
    </row>
    <row r="27" spans="1:39" x14ac:dyDescent="0.25">
      <c r="A27" s="10" t="s">
        <v>223</v>
      </c>
      <c r="B27" s="292">
        <f t="shared" si="13"/>
        <v>93.2</v>
      </c>
      <c r="C27" s="294">
        <f t="shared" si="14"/>
        <v>233000</v>
      </c>
      <c r="D27" s="202">
        <v>2</v>
      </c>
      <c r="E27" s="202">
        <v>6</v>
      </c>
      <c r="F27" s="202">
        <v>35</v>
      </c>
      <c r="G27" s="268">
        <v>6</v>
      </c>
      <c r="H27" s="268">
        <v>0</v>
      </c>
      <c r="I27" s="268"/>
      <c r="J27" s="268"/>
      <c r="K27" s="268">
        <v>1</v>
      </c>
      <c r="L27" s="279">
        <f t="shared" si="15"/>
        <v>38</v>
      </c>
      <c r="M27" s="301">
        <v>6</v>
      </c>
      <c r="N27" s="301">
        <v>0</v>
      </c>
      <c r="O27" s="273">
        <f>D27+(E27*G27)</f>
        <v>38</v>
      </c>
      <c r="P27" s="273"/>
      <c r="Q27" s="273"/>
      <c r="R27" s="273">
        <v>1</v>
      </c>
      <c r="S27" s="3">
        <f t="shared" si="17"/>
        <v>38</v>
      </c>
      <c r="T27" s="150">
        <f t="shared" si="18"/>
        <v>76</v>
      </c>
      <c r="U27" s="151">
        <f>T27*$G$1</f>
        <v>190000</v>
      </c>
      <c r="V27" s="202"/>
      <c r="W27" s="202"/>
      <c r="X27" s="3">
        <f t="shared" si="20"/>
        <v>0</v>
      </c>
      <c r="Y27" s="3"/>
      <c r="Z27" s="3"/>
      <c r="AA27" s="3"/>
      <c r="AB27" s="202">
        <v>1</v>
      </c>
      <c r="AC27" s="202">
        <v>1</v>
      </c>
      <c r="AD27" s="3">
        <f>(AB27+AC27)*$G$2*$D$1*0.4</f>
        <v>43000</v>
      </c>
      <c r="AE27" s="150">
        <f>(X27+AD27)/$G$1+T27</f>
        <v>93.2</v>
      </c>
      <c r="AF27" s="150"/>
      <c r="AH27" s="206"/>
      <c r="AI27" s="42">
        <f t="shared" si="22"/>
        <v>0</v>
      </c>
      <c r="AJ27" s="185">
        <f t="shared" si="23"/>
        <v>0</v>
      </c>
      <c r="AK27" s="42">
        <f>IF(AL27&gt;0,(#REF!+#REF!)/(#REF!+#REF!)*#REF!*(#REF!+#REF!),0)</f>
        <v>0</v>
      </c>
      <c r="AL27" s="185"/>
      <c r="AM27" s="150"/>
    </row>
    <row r="28" spans="1:39" s="152" customFormat="1" x14ac:dyDescent="0.25">
      <c r="A28" s="10"/>
      <c r="B28" s="292"/>
      <c r="C28" s="290"/>
      <c r="D28" s="8"/>
      <c r="E28" s="8"/>
      <c r="F28" s="8"/>
      <c r="G28" s="266"/>
      <c r="H28" s="266"/>
      <c r="I28" s="266"/>
      <c r="J28" s="266"/>
      <c r="K28" s="266"/>
      <c r="L28" s="185"/>
      <c r="M28" s="273"/>
      <c r="N28" s="273"/>
      <c r="O28" s="273">
        <f>D28+(E28*G28)</f>
        <v>0</v>
      </c>
      <c r="P28" s="273"/>
      <c r="Q28" s="273"/>
      <c r="R28" s="273"/>
      <c r="S28" s="3">
        <f t="shared" si="17"/>
        <v>0</v>
      </c>
      <c r="T28" s="150">
        <f t="shared" si="18"/>
        <v>0</v>
      </c>
      <c r="U28" s="151">
        <f>T28*$G$1</f>
        <v>0</v>
      </c>
      <c r="V28" s="8"/>
      <c r="W28" s="8"/>
      <c r="X28" s="3">
        <f t="shared" si="20"/>
        <v>0</v>
      </c>
      <c r="Y28" s="3"/>
      <c r="Z28" s="3"/>
      <c r="AA28" s="3"/>
      <c r="AB28" s="8"/>
      <c r="AC28" s="8"/>
      <c r="AD28" s="3">
        <f>(AB28+AC28)*$G$2*$D$1*0.4</f>
        <v>0</v>
      </c>
      <c r="AE28" s="150">
        <f>(X28+AD28)/$G$1+T28</f>
        <v>0</v>
      </c>
      <c r="AF28" s="3"/>
      <c r="AH28" s="206"/>
      <c r="AI28" s="42">
        <f t="shared" si="22"/>
        <v>0</v>
      </c>
      <c r="AJ28" s="185">
        <f t="shared" si="23"/>
        <v>0</v>
      </c>
      <c r="AK28" s="42">
        <f>IF(AL28&gt;0,(#REF!+#REF!)/(#REF!+#REF!)*#REF!*(#REF!+#REF!),0)</f>
        <v>0</v>
      </c>
      <c r="AL28" s="185"/>
      <c r="AM28" s="150"/>
    </row>
    <row r="29" spans="1:39" s="152" customFormat="1" x14ac:dyDescent="0.25">
      <c r="A29" s="149" t="s">
        <v>283</v>
      </c>
      <c r="B29" s="292">
        <f>(AA29)/$G$1+T29</f>
        <v>43</v>
      </c>
      <c r="C29" s="294">
        <f>U29+X29+AA29+AD29</f>
        <v>107500</v>
      </c>
      <c r="D29" s="8"/>
      <c r="E29" s="8"/>
      <c r="F29" s="8"/>
      <c r="G29" s="266"/>
      <c r="H29" s="266"/>
      <c r="I29" s="266"/>
      <c r="J29" s="266">
        <v>1</v>
      </c>
      <c r="K29" s="266"/>
      <c r="L29" s="279">
        <f>D29+(E29*G29)</f>
        <v>0</v>
      </c>
      <c r="M29" s="273"/>
      <c r="N29" s="273"/>
      <c r="O29" s="273"/>
      <c r="P29" s="273"/>
      <c r="Q29" s="273">
        <v>1</v>
      </c>
      <c r="R29" s="273"/>
      <c r="S29" s="3"/>
      <c r="T29" s="3"/>
      <c r="U29" s="19"/>
      <c r="V29" s="185"/>
      <c r="W29" s="185"/>
      <c r="X29" s="3"/>
      <c r="Y29" s="203">
        <v>1</v>
      </c>
      <c r="Z29" s="203">
        <v>1</v>
      </c>
      <c r="AA29" s="3">
        <f>(Y29*G2*D1)+(Z29*G2*D1)</f>
        <v>107500</v>
      </c>
      <c r="AB29" s="185"/>
      <c r="AC29" s="185"/>
      <c r="AD29" s="3"/>
      <c r="AE29" s="150">
        <f>(AA29)/$G$1+T29</f>
        <v>43</v>
      </c>
      <c r="AF29" s="3"/>
      <c r="AH29" s="206"/>
      <c r="AI29" s="42"/>
      <c r="AJ29" s="185"/>
      <c r="AK29" s="153"/>
      <c r="AL29" s="218"/>
      <c r="AM29" s="150"/>
    </row>
    <row r="30" spans="1:39" ht="45" x14ac:dyDescent="0.25">
      <c r="A30" s="21" t="s">
        <v>21</v>
      </c>
      <c r="B30" s="295">
        <f>SUM(B7:B29)</f>
        <v>1787.3999999999999</v>
      </c>
      <c r="C30" s="296">
        <f>SUM(C7:C29)</f>
        <v>4468500</v>
      </c>
      <c r="D30" s="56">
        <f>SUM(D7:D29)</f>
        <v>141</v>
      </c>
      <c r="E30" s="56">
        <f>SUM(E7:E29)</f>
        <v>112</v>
      </c>
      <c r="F30" s="8"/>
      <c r="G30" s="298"/>
      <c r="H30" s="298"/>
      <c r="I30" s="298">
        <f t="shared" ref="I30" si="24">SUM(I7:I29)</f>
        <v>3</v>
      </c>
      <c r="J30" s="298">
        <v>1</v>
      </c>
      <c r="K30" s="298">
        <v>4</v>
      </c>
      <c r="L30" s="4">
        <f t="shared" ref="L30" si="25">SUM(L7:L29)</f>
        <v>813</v>
      </c>
      <c r="M30" s="302"/>
      <c r="N30" s="302"/>
      <c r="O30" s="278">
        <f t="shared" ref="O30:AE30" si="26">SUM(O7:O29)</f>
        <v>811</v>
      </c>
      <c r="P30" s="278">
        <v>3</v>
      </c>
      <c r="Q30" s="278">
        <v>1</v>
      </c>
      <c r="R30" s="278">
        <v>4</v>
      </c>
      <c r="S30" s="4">
        <f t="shared" si="26"/>
        <v>813</v>
      </c>
      <c r="T30" s="4">
        <f t="shared" si="26"/>
        <v>1624</v>
      </c>
      <c r="U30" s="4">
        <f t="shared" si="26"/>
        <v>4060000</v>
      </c>
      <c r="V30" s="4">
        <f t="shared" si="26"/>
        <v>3</v>
      </c>
      <c r="W30" s="4">
        <f t="shared" si="26"/>
        <v>3</v>
      </c>
      <c r="X30" s="4">
        <f t="shared" si="26"/>
        <v>129000</v>
      </c>
      <c r="Y30" s="4">
        <f t="shared" si="26"/>
        <v>1</v>
      </c>
      <c r="Z30" s="4">
        <f t="shared" si="26"/>
        <v>1</v>
      </c>
      <c r="AA30" s="4">
        <f t="shared" si="26"/>
        <v>107500</v>
      </c>
      <c r="AB30" s="4">
        <f t="shared" si="26"/>
        <v>4</v>
      </c>
      <c r="AC30" s="4">
        <f t="shared" si="26"/>
        <v>4</v>
      </c>
      <c r="AD30" s="4">
        <f t="shared" si="26"/>
        <v>172000</v>
      </c>
      <c r="AE30" s="4">
        <f t="shared" si="26"/>
        <v>1785.3999999999999</v>
      </c>
      <c r="AF30" s="4">
        <f>SUM(U30,AD30,X30,AA30)</f>
        <v>4468500</v>
      </c>
      <c r="AG30" s="154" t="s">
        <v>220</v>
      </c>
      <c r="AH30" s="2">
        <f>SUM(AH7:AH27)</f>
        <v>12</v>
      </c>
      <c r="AI30" s="2">
        <f>SUM(AI7:AI27)</f>
        <v>476</v>
      </c>
      <c r="AJ30" s="2"/>
      <c r="AK30" s="222">
        <f>SUM(AK7:AK27)</f>
        <v>0</v>
      </c>
      <c r="AL30" s="222"/>
      <c r="AM30" s="222">
        <f>AM31/5</f>
        <v>240.8</v>
      </c>
    </row>
    <row r="31" spans="1:39" s="7" customFormat="1" ht="30" x14ac:dyDescent="0.25">
      <c r="A31" s="10"/>
      <c r="B31" s="289"/>
      <c r="C31" s="28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9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54" t="s">
        <v>219</v>
      </c>
      <c r="AH31" s="2">
        <f>SUM(AH7:AH27)*5</f>
        <v>60</v>
      </c>
      <c r="AI31" s="222">
        <f>SUM(AI7:AI27)*5</f>
        <v>2380</v>
      </c>
      <c r="AJ31" s="2"/>
      <c r="AK31" s="222">
        <f>SUM(AK7:AK27)*5</f>
        <v>0</v>
      </c>
      <c r="AL31" s="222"/>
      <c r="AM31" s="222">
        <f>(X30+AD30)/$G$2</f>
        <v>1204</v>
      </c>
    </row>
    <row r="32" spans="1:39" ht="15.75" thickBot="1" x14ac:dyDescent="0.3">
      <c r="AH32" s="1" t="s">
        <v>196</v>
      </c>
      <c r="AI32" s="1"/>
      <c r="AJ32" s="1"/>
      <c r="AK32" s="1"/>
      <c r="AL32" s="1"/>
      <c r="AM32" s="1"/>
    </row>
    <row r="33" spans="4:19" ht="16.5" thickBot="1" x14ac:dyDescent="0.3">
      <c r="D33" s="369" t="s">
        <v>319</v>
      </c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1"/>
    </row>
    <row r="34" spans="4:19" ht="16.5" customHeight="1" x14ac:dyDescent="0.25"/>
  </sheetData>
  <sheetProtection algorithmName="SHA-512" hashValue="ouA7KzJE2m4JV5P/lfTFqvWVlu49j3sPwphUATjLdRMshgTHYdr29RxzOgkCHwNbTyjTAW670slQOBC7Hu61GA==" saltValue="WrpCw2TzMT8cJhBO46j8yA==" spinCount="100000" sheet="1" selectLockedCells="1"/>
  <customSheetViews>
    <customSheetView guid="{CB7E9FB3-C7A3-44DE-98E4-19C23B487785}" scale="80" fitToPage="1" hiddenColumns="1">
      <pane xSplit="1" topLeftCell="D1" activePane="topRight" state="frozen"/>
      <selection pane="topRight" activeCell="G2" sqref="G2"/>
      <pageMargins left="7.874015748031496E-2" right="7.874015748031496E-2" top="0.78740157480314965" bottom="0.78740157480314965" header="0.31496062992125984" footer="0.31496062992125984"/>
      <pageSetup paperSize="9" scale="85" orientation="landscape" r:id="rId1"/>
      <headerFooter>
        <oddHeader>&amp;C&amp;"-,Fet"&amp;14 2. studieår</oddHeader>
      </headerFooter>
    </customSheetView>
    <customSheetView guid="{0F10E6D6-430E-4539-8602-E1FCB30ABD1B}" scale="80" fitToPage="1" hiddenColumns="1">
      <pane xSplit="1" topLeftCell="D1" activePane="topRight" state="frozen"/>
      <selection pane="topRight" activeCell="D1" sqref="D1"/>
      <pageMargins left="7.874015748031496E-2" right="7.874015748031496E-2" top="0.78740157480314965" bottom="0.78740157480314965" header="0.31496062992125984" footer="0.31496062992125984"/>
      <pageSetup paperSize="9" scale="85" orientation="landscape" r:id="rId2"/>
      <headerFooter>
        <oddHeader>&amp;C&amp;"-,Fet"&amp;14 2. studieår</oddHeader>
      </headerFooter>
    </customSheetView>
    <customSheetView guid="{6A1E5DF8-D380-4588-9B84-662BAE41D0D9}" scale="80" fitToPage="1" hiddenColumns="1" topLeftCell="A7">
      <pane xSplit="1" topLeftCell="B1" activePane="topRight" state="frozen"/>
      <selection pane="topRight" activeCell="G2" sqref="G2"/>
      <pageMargins left="7.874015748031496E-2" right="7.874015748031496E-2" top="0.78740157480314965" bottom="0.78740157480314965" header="0.31496062992125984" footer="0.31496062992125984"/>
      <pageSetup paperSize="9" scale="85" orientation="landscape" r:id="rId3"/>
      <headerFooter>
        <oddHeader>&amp;C&amp;"-,Fet"&amp;14 2. studieår</oddHeader>
      </headerFooter>
    </customSheetView>
    <customSheetView guid="{C3BF634C-AA16-4BD6-93CF-AD12048346B7}" scale="80" fitToPage="1" hiddenColumns="1">
      <pane xSplit="1" topLeftCell="B1" activePane="topRight" state="frozen"/>
      <selection pane="topRight" activeCell="G2" sqref="G2"/>
      <pageMargins left="7.874015748031496E-2" right="7.874015748031496E-2" top="0.78740157480314965" bottom="0.78740157480314965" header="0.31496062992125984" footer="0.31496062992125984"/>
      <pageSetup paperSize="9" scale="85" orientation="landscape" r:id="rId4"/>
      <headerFooter>
        <oddHeader>&amp;C&amp;"-,Fet"&amp;14 2. studieår</oddHeader>
      </headerFooter>
    </customSheetView>
    <customSheetView guid="{2A2C752C-8C42-4F9A-A40C-FE7F7014F210}" fitToPage="1" topLeftCell="A9">
      <pane xSplit="1" topLeftCell="R1" activePane="topRight" state="frozen"/>
      <selection pane="topRight" activeCell="P8" sqref="P8"/>
      <pageMargins left="7.874015748031496E-2" right="7.874015748031496E-2" top="0.78740157480314965" bottom="0.78740157480314965" header="0.31496062992125984" footer="0.31496062992125984"/>
      <pageSetup paperSize="9" scale="85" orientation="landscape" r:id="rId5"/>
      <headerFooter>
        <oddHeader>&amp;C&amp;"-,Fet"&amp;14 2. studieår</oddHeader>
      </headerFooter>
    </customSheetView>
    <customSheetView guid="{AC2983A2-F978-40B7-A196-35F34E705157}" scale="70" fitToPage="1" hiddenColumns="1" topLeftCell="A4">
      <pane xSplit="1" topLeftCell="B1" activePane="topRight" state="frozen"/>
      <selection pane="topRight" activeCell="S11" sqref="S11"/>
      <pageMargins left="7.874015748031496E-2" right="7.874015748031496E-2" top="0.78740157480314965" bottom="0.78740157480314965" header="0.31496062992125984" footer="0.31496062992125984"/>
      <pageSetup paperSize="9" scale="85" orientation="landscape" r:id="rId6"/>
      <headerFooter>
        <oddHeader>&amp;C&amp;"-,Fet"&amp;14 2. studieår</oddHeader>
      </headerFooter>
    </customSheetView>
    <customSheetView guid="{749D43A3-052D-442F-AE88-F6CCB83A1282}" fitToPage="1" hiddenColumns="1" topLeftCell="A4">
      <pane xSplit="1" topLeftCell="X1" activePane="topRight" state="frozen"/>
      <selection pane="topRight" activeCell="Q12" sqref="Q12"/>
      <pageMargins left="7.874015748031496E-2" right="7.874015748031496E-2" top="0.78740157480314965" bottom="0.78740157480314965" header="0.31496062992125984" footer="0.31496062992125984"/>
      <pageSetup paperSize="9" scale="85" orientation="landscape" r:id="rId7"/>
      <headerFooter>
        <oddHeader>&amp;C&amp;"-,Fet"&amp;14 2. studieår</oddHeader>
      </headerFooter>
    </customSheetView>
    <customSheetView guid="{F38A39FA-EF57-4062-A2AD-F3BEB88C5762}" fitToPage="1" hiddenColumns="1" topLeftCell="A8">
      <selection activeCell="AE22" sqref="AE22"/>
      <pageMargins left="7.874015748031496E-2" right="7.874015748031496E-2" top="0.78740157480314965" bottom="0.78740157480314965" header="0.31496062992125984" footer="0.31496062992125984"/>
      <pageSetup paperSize="9" scale="85" orientation="landscape" r:id="rId8"/>
      <headerFooter>
        <oddHeader>&amp;C&amp;"-,Fet"&amp;14 2. studieår</oddHeader>
      </headerFooter>
    </customSheetView>
    <customSheetView guid="{83C69039-3E29-46E1-85FB-B9165E0BFA91}" fitToPage="1" hiddenColumns="1">
      <pane xSplit="1" topLeftCell="S1" activePane="topRight" state="frozen"/>
      <selection pane="topRight" activeCell="A11" sqref="A11:XFD11"/>
      <pageMargins left="7.874015748031496E-2" right="7.874015748031496E-2" top="0.78740157480314965" bottom="0.78740157480314965" header="0.31496062992125984" footer="0.31496062992125984"/>
      <pageSetup paperSize="9" scale="44" orientation="landscape" r:id="rId9"/>
      <headerFooter>
        <oddHeader>&amp;C&amp;"-,Fet"&amp;14 2. studieår</oddHeader>
      </headerFooter>
    </customSheetView>
    <customSheetView guid="{C1FECEF4-D739-4F39-9B89-CF4C04A77A9B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10"/>
      <headerFooter>
        <oddHeader>&amp;C&amp;"-,Fet"&amp;14 2. studieår</oddHeader>
      </headerFooter>
    </customSheetView>
    <customSheetView guid="{91227156-ECBD-48FD-8964-78F3608400FC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11"/>
      <headerFooter>
        <oddHeader>&amp;C&amp;"-,Fet"&amp;14 2. studieår</oddHeader>
      </headerFooter>
    </customSheetView>
    <customSheetView guid="{B76C0EA9-E79B-4DA2-9ADE-66DB47109F8F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12"/>
      <headerFooter>
        <oddHeader>&amp;C&amp;"-,Fet"&amp;14 2. studieår</oddHeader>
      </headerFooter>
    </customSheetView>
    <customSheetView guid="{726FF687-50E0-4F8A-BCCB-6DA9E6D367D4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13"/>
      <headerFooter>
        <oddHeader>&amp;C&amp;"-,Fet"&amp;14 2. studieår</oddHeader>
      </headerFooter>
    </customSheetView>
    <customSheetView guid="{BB9ED292-532F-438C-A4A6-F8D66D70E0E7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14"/>
      <headerFooter>
        <oddHeader>&amp;C&amp;"-,Fet"&amp;14 2. studieår</oddHeader>
      </headerFooter>
    </customSheetView>
    <customSheetView guid="{7AE955BB-7BF8-4CA4-ABF1-6A0BB53A48AD}" fitToPage="1" hiddenRows="1" hiddenColumns="1" topLeftCell="H1">
      <selection activeCell="AI12" sqref="AI12"/>
      <pageMargins left="7.874015748031496E-2" right="7.874015748031496E-2" top="0.78740157480314965" bottom="0.78740157480314965" header="0.31496062992125984" footer="0.31496062992125984"/>
      <pageSetup paperSize="9" scale="85" orientation="landscape" r:id="rId15"/>
      <headerFooter>
        <oddHeader>&amp;C&amp;"-,Fet"&amp;14 2. studieår</oddHeader>
      </headerFooter>
    </customSheetView>
    <customSheetView guid="{43EFFC0A-CCC0-43DD-A273-4AF58757EC00}" fitToPage="1" hiddenColumns="1" topLeftCell="A8">
      <selection activeCell="AI20" sqref="AI20"/>
      <pageMargins left="7.874015748031496E-2" right="7.874015748031496E-2" top="0.78740157480314965" bottom="0.78740157480314965" header="0.31496062992125984" footer="0.31496062992125984"/>
      <pageSetup paperSize="9" scale="85" orientation="landscape" r:id="rId16"/>
      <headerFooter>
        <oddHeader>&amp;C&amp;"-,Fet"&amp;14 2. studieår</oddHeader>
      </headerFooter>
    </customSheetView>
    <customSheetView guid="{E5349645-7714-4437-B9BC-26ED822E5BC5}" fitToPage="1" hiddenColumns="1" topLeftCell="A13">
      <pane xSplit="1" topLeftCell="B1" activePane="topRight" state="frozen"/>
      <selection pane="topRight" activeCell="E26" sqref="E26"/>
      <pageMargins left="7.874015748031496E-2" right="7.874015748031496E-2" top="0.78740157480314965" bottom="0.78740157480314965" header="0.31496062992125984" footer="0.31496062992125984"/>
      <pageSetup paperSize="9" scale="85" orientation="landscape" r:id="rId17"/>
      <headerFooter>
        <oddHeader>&amp;C&amp;"-,Fet"&amp;14 2. studieår</oddHeader>
      </headerFooter>
    </customSheetView>
    <customSheetView guid="{46AB9545-8BEE-4A2F-B820-9F80AC24A11B}" fitToPage="1" hiddenColumns="1" topLeftCell="A7">
      <pane xSplit="1" topLeftCell="I1" activePane="topRight" state="frozen"/>
      <selection pane="topRight" activeCell="Q16" sqref="Q16"/>
      <pageMargins left="7.874015748031496E-2" right="7.874015748031496E-2" top="0.78740157480314965" bottom="0.78740157480314965" header="0.31496062992125984" footer="0.31496062992125984"/>
      <pageSetup paperSize="9" scale="85" orientation="landscape" r:id="rId18"/>
      <headerFooter>
        <oddHeader>&amp;C&amp;"-,Fet"&amp;14 2. studieår</oddHeader>
      </headerFooter>
    </customSheetView>
    <customSheetView guid="{F727610F-D041-4412-A81F-AFD013C44971}" scale="110" fitToPage="1" hiddenColumns="1">
      <pane xSplit="1" topLeftCell="B1" activePane="topRight" state="frozen"/>
      <selection pane="topRight" activeCell="E19" sqref="E19"/>
      <pageMargins left="7.874015748031496E-2" right="7.874015748031496E-2" top="0.78740157480314965" bottom="0.78740157480314965" header="0.31496062992125984" footer="0.31496062992125984"/>
      <pageSetup paperSize="9" scale="85" orientation="landscape" r:id="rId19"/>
      <headerFooter>
        <oddHeader>&amp;C&amp;"-,Fet"&amp;14 2. studieår</oddHeader>
      </headerFooter>
    </customSheetView>
    <customSheetView guid="{F170D8DF-3539-4353-BD8B-1F5EB452DAE5}" scale="110" fitToPage="1" hiddenColumns="1" topLeftCell="A7">
      <pane xSplit="1" topLeftCell="V1" activePane="topRight" state="frozen"/>
      <selection pane="topRight" activeCell="E19" sqref="E19"/>
      <pageMargins left="7.874015748031496E-2" right="7.874015748031496E-2" top="0.78740157480314965" bottom="0.78740157480314965" header="0.31496062992125984" footer="0.31496062992125984"/>
      <pageSetup paperSize="9" scale="85" orientation="landscape" r:id="rId20"/>
      <headerFooter>
        <oddHeader>&amp;C&amp;"-,Fet"&amp;14 2. studieår</oddHeader>
      </headerFooter>
    </customSheetView>
    <customSheetView guid="{1283C6B5-B05C-447B-8854-CDB081C03FD4}" scale="80" fitToPage="1" hiddenColumns="1" topLeftCell="A7">
      <pane xSplit="1" topLeftCell="D1" activePane="topRight" state="frozen"/>
      <selection pane="topRight" activeCell="Q9" sqref="Q9"/>
      <pageMargins left="7.874015748031496E-2" right="7.874015748031496E-2" top="0.78740157480314965" bottom="0.78740157480314965" header="0.31496062992125984" footer="0.31496062992125984"/>
      <pageSetup paperSize="9" scale="85" orientation="landscape" r:id="rId21"/>
      <headerFooter>
        <oddHeader>&amp;C&amp;"-,Fet"&amp;14 2. studieår</oddHeader>
      </headerFooter>
    </customSheetView>
    <customSheetView guid="{37BC2192-ABF8-4439-93C4-8E65E7EF90F5}" fitToPage="1" hiddenColumns="1" topLeftCell="A7">
      <pane xSplit="1" topLeftCell="D1" activePane="topRight" state="frozen"/>
      <selection pane="topRight" activeCell="Q9" sqref="Q9"/>
      <pageMargins left="7.874015748031496E-2" right="7.874015748031496E-2" top="0.78740157480314965" bottom="0.78740157480314965" header="0.31496062992125984" footer="0.31496062992125984"/>
      <pageSetup paperSize="9" scale="85" orientation="landscape" r:id="rId22"/>
      <headerFooter>
        <oddHeader>&amp;C&amp;"-,Fet"&amp;14 2. studieår</oddHeader>
      </headerFooter>
    </customSheetView>
    <customSheetView guid="{7084DC93-B2BE-4098-87E1-DAC5FBCE0E0A}" fitToPage="1" hiddenColumns="1" topLeftCell="A7">
      <pane xSplit="1" topLeftCell="D1" activePane="topRight" state="frozen"/>
      <selection pane="topRight" activeCell="Q9" sqref="Q9"/>
      <pageMargins left="7.874015748031496E-2" right="7.874015748031496E-2" top="0.78740157480314965" bottom="0.78740157480314965" header="0.31496062992125984" footer="0.31496062992125984"/>
      <pageSetup paperSize="9" scale="85" orientation="landscape" r:id="rId23"/>
      <headerFooter>
        <oddHeader>&amp;C&amp;"-,Fet"&amp;14 2. studieår</oddHeader>
      </headerFooter>
    </customSheetView>
    <customSheetView guid="{0E885D9C-CD7C-4655-8709-41793617E0A7}" scale="80" fitToPage="1" hiddenColumns="1">
      <pane xSplit="1" topLeftCell="B1" activePane="topRight" state="frozen"/>
      <selection pane="topRight" activeCell="G2" sqref="G2"/>
      <pageMargins left="7.874015748031496E-2" right="7.874015748031496E-2" top="0.78740157480314965" bottom="0.78740157480314965" header="0.31496062992125984" footer="0.31496062992125984"/>
      <pageSetup paperSize="9" scale="85" orientation="landscape" r:id="rId24"/>
      <headerFooter>
        <oddHeader>&amp;C&amp;"-,Fet"&amp;14 2. studieår</oddHeader>
      </headerFooter>
    </customSheetView>
    <customSheetView guid="{B711C9DF-E741-4A27-9293-4E9F012F3AC0}" scale="80" fitToPage="1" hiddenColumns="1">
      <pane xSplit="1" topLeftCell="B1" activePane="topRight" state="frozen"/>
      <selection pane="topRight" activeCell="G2" sqref="G2"/>
      <pageMargins left="7.874015748031496E-2" right="7.874015748031496E-2" top="0.78740157480314965" bottom="0.78740157480314965" header="0.31496062992125984" footer="0.31496062992125984"/>
      <pageSetup paperSize="9" scale="85" orientation="landscape" r:id="rId25"/>
      <headerFooter>
        <oddHeader>&amp;C&amp;"-,Fet"&amp;14 2. studieår</oddHeader>
      </headerFooter>
    </customSheetView>
    <customSheetView guid="{1241DC17-BD41-46C5-9DB1-684763A09F24}" scale="80" fitToPage="1" hiddenColumns="1">
      <pane xSplit="1" topLeftCell="D1" activePane="topRight" state="frozen"/>
      <selection pane="topRight" activeCell="D1" sqref="D1"/>
      <pageMargins left="7.874015748031496E-2" right="7.874015748031496E-2" top="0.78740157480314965" bottom="0.78740157480314965" header="0.31496062992125984" footer="0.31496062992125984"/>
      <pageSetup paperSize="9" scale="85" orientation="landscape" r:id="rId26"/>
      <headerFooter>
        <oddHeader>&amp;C&amp;"-,Fet"&amp;14 2. studieår</oddHeader>
      </headerFooter>
    </customSheetView>
  </customSheetViews>
  <mergeCells count="5">
    <mergeCell ref="AH1:AM1"/>
    <mergeCell ref="AH4:AM4"/>
    <mergeCell ref="D4:AF5"/>
    <mergeCell ref="AK5:AL5"/>
    <mergeCell ref="D33:S33"/>
  </mergeCells>
  <pageMargins left="7.874015748031496E-2" right="7.874015748031496E-2" top="0.78740157480314965" bottom="0.78740157480314965" header="0.31496062992125984" footer="0.31496062992125984"/>
  <pageSetup paperSize="9" scale="85" orientation="landscape" r:id="rId27"/>
  <headerFooter>
    <oddHeader>&amp;C&amp;"-,Fet"&amp;14 2. studieår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N37"/>
  <sheetViews>
    <sheetView zoomScale="80" zoomScaleNormal="80" workbookViewId="0">
      <pane xSplit="1" topLeftCell="B1" activePane="topRight" state="frozen"/>
      <selection activeCell="AE19" sqref="AE19"/>
      <selection pane="topRight" activeCell="G2" sqref="G2"/>
    </sheetView>
  </sheetViews>
  <sheetFormatPr baseColWidth="10" defaultColWidth="11.42578125" defaultRowHeight="15" x14ac:dyDescent="0.25"/>
  <cols>
    <col min="1" max="1" width="42.42578125" style="154" bestFit="1" customWidth="1"/>
    <col min="2" max="2" width="19.5703125" style="154" customWidth="1"/>
    <col min="3" max="3" width="17.140625" style="154" customWidth="1"/>
    <col min="4" max="4" width="14.42578125" customWidth="1"/>
    <col min="5" max="5" width="10.85546875" customWidth="1"/>
    <col min="6" max="6" width="13.140625" customWidth="1"/>
    <col min="7" max="8" width="9.140625" customWidth="1"/>
    <col min="9" max="9" width="9.140625" hidden="1" customWidth="1"/>
    <col min="10" max="10" width="15.42578125" customWidth="1"/>
    <col min="11" max="11" width="11" customWidth="1"/>
    <col min="12" max="12" width="9.140625" customWidth="1"/>
    <col min="13" max="13" width="13.42578125" customWidth="1"/>
    <col min="14" max="15" width="9.140625" customWidth="1"/>
    <col min="16" max="16" width="14" customWidth="1"/>
    <col min="17" max="17" width="11.5703125" customWidth="1"/>
    <col min="18" max="18" width="14" customWidth="1"/>
    <col min="19" max="19" width="11" hidden="1" customWidth="1"/>
    <col min="20" max="20" width="14.42578125" customWidth="1"/>
    <col min="21" max="21" width="15.5703125" customWidth="1"/>
    <col min="22" max="22" width="15.140625" style="5" customWidth="1"/>
    <col min="23" max="23" width="14.140625" style="5" hidden="1" customWidth="1"/>
    <col min="24" max="24" width="13.5703125" style="5" hidden="1" customWidth="1"/>
    <col min="25" max="25" width="14.42578125" style="5" customWidth="1"/>
    <col min="26" max="26" width="10.42578125" style="5" hidden="1" customWidth="1"/>
    <col min="27" max="27" width="10.5703125" style="5" hidden="1" customWidth="1"/>
    <col min="28" max="28" width="9.140625" style="5" customWidth="1"/>
    <col min="29" max="30" width="14.42578125" style="5" hidden="1" customWidth="1"/>
    <col min="31" max="31" width="14.5703125" style="5" customWidth="1"/>
    <col min="32" max="32" width="11.85546875" style="5" hidden="1" customWidth="1"/>
    <col min="33" max="33" width="12.42578125" style="5" hidden="1" customWidth="1"/>
    <col min="34" max="34" width="17.140625" customWidth="1"/>
    <col min="35" max="35" width="12.85546875" customWidth="1"/>
    <col min="36" max="36" width="14.5703125" customWidth="1"/>
    <col min="37" max="38" width="9.140625" customWidth="1"/>
    <col min="39" max="39" width="10" bestFit="1" customWidth="1"/>
    <col min="40" max="40" width="9.140625" style="41" customWidth="1"/>
    <col min="41" max="254" width="9.140625" customWidth="1"/>
  </cols>
  <sheetData>
    <row r="1" spans="1:40" ht="30" x14ac:dyDescent="0.25">
      <c r="A1" s="303" t="s">
        <v>3</v>
      </c>
      <c r="B1" s="307"/>
      <c r="C1" s="307"/>
      <c r="D1" s="232">
        <v>215</v>
      </c>
      <c r="E1" s="143"/>
      <c r="F1" s="142" t="s">
        <v>5</v>
      </c>
      <c r="G1" s="208">
        <v>2500</v>
      </c>
      <c r="V1"/>
      <c r="W1"/>
      <c r="X1"/>
      <c r="Y1"/>
      <c r="AH1" s="5"/>
      <c r="AI1" s="388" t="s">
        <v>57</v>
      </c>
      <c r="AJ1" s="388"/>
      <c r="AK1" s="388"/>
      <c r="AL1" s="388"/>
      <c r="AM1" s="388"/>
      <c r="AN1" s="245"/>
    </row>
    <row r="2" spans="1:40" ht="30" x14ac:dyDescent="0.25">
      <c r="A2" s="324"/>
      <c r="B2" s="325"/>
      <c r="C2" s="325"/>
      <c r="D2" s="321"/>
      <c r="E2" s="143"/>
      <c r="F2" s="142" t="s">
        <v>6</v>
      </c>
      <c r="G2" s="209">
        <v>340</v>
      </c>
      <c r="V2"/>
      <c r="W2"/>
      <c r="X2"/>
      <c r="Y2"/>
      <c r="AH2" s="5"/>
      <c r="AJ2" s="155"/>
      <c r="AK2" s="155"/>
      <c r="AL2" s="155"/>
      <c r="AM2" s="155"/>
      <c r="AN2" s="246"/>
    </row>
    <row r="3" spans="1:40" x14ac:dyDescent="0.25">
      <c r="A3" s="326" t="s">
        <v>41</v>
      </c>
      <c r="B3" s="328"/>
      <c r="C3" s="328"/>
      <c r="D3" s="44"/>
      <c r="E3" s="41"/>
      <c r="F3" s="13"/>
      <c r="AH3" s="63"/>
      <c r="AI3" s="89" t="s">
        <v>48</v>
      </c>
      <c r="AJ3" s="89" t="s">
        <v>44</v>
      </c>
      <c r="AK3" s="89"/>
      <c r="AL3" s="89" t="s">
        <v>45</v>
      </c>
      <c r="AM3" s="89" t="s">
        <v>46</v>
      </c>
    </row>
    <row r="4" spans="1:40" x14ac:dyDescent="0.25">
      <c r="A4" s="327">
        <v>24</v>
      </c>
      <c r="B4" s="144"/>
      <c r="C4" s="144"/>
      <c r="D4" s="262" t="s">
        <v>42</v>
      </c>
      <c r="E4" s="227"/>
      <c r="F4" s="227"/>
      <c r="G4" s="227"/>
      <c r="H4" s="227"/>
      <c r="I4" s="227"/>
      <c r="J4" s="262"/>
      <c r="K4" s="262"/>
      <c r="L4" s="262"/>
      <c r="M4" s="262"/>
      <c r="N4" s="262"/>
      <c r="O4" s="227"/>
      <c r="P4" s="262"/>
      <c r="Q4" s="262"/>
      <c r="R4" s="262"/>
      <c r="S4" s="227"/>
      <c r="T4" s="227"/>
      <c r="U4" s="228"/>
      <c r="AH4" s="63"/>
      <c r="AI4" s="90"/>
      <c r="AJ4" s="90"/>
      <c r="AK4" s="90"/>
      <c r="AL4" s="90"/>
      <c r="AM4" s="90">
        <v>1</v>
      </c>
    </row>
    <row r="5" spans="1:40" x14ac:dyDescent="0.25">
      <c r="D5" s="226"/>
      <c r="E5" s="227"/>
      <c r="F5" s="227"/>
      <c r="G5" s="227"/>
      <c r="H5" s="227"/>
      <c r="I5" s="227"/>
      <c r="J5" s="262"/>
      <c r="K5" s="262"/>
      <c r="L5" s="262"/>
      <c r="M5" s="262"/>
      <c r="N5" s="262"/>
      <c r="O5" s="227"/>
      <c r="P5" s="262"/>
      <c r="Q5" s="262"/>
      <c r="R5" s="262"/>
      <c r="S5" s="227"/>
      <c r="T5" s="227"/>
      <c r="U5" s="228"/>
      <c r="AI5" s="386" t="s">
        <v>265</v>
      </c>
      <c r="AJ5" s="387"/>
      <c r="AK5" s="387"/>
      <c r="AL5" s="387"/>
      <c r="AM5" s="387"/>
    </row>
    <row r="6" spans="1:40" s="25" customFormat="1" ht="86.25" x14ac:dyDescent="0.25">
      <c r="A6" s="51" t="s">
        <v>333</v>
      </c>
      <c r="B6" s="54" t="s">
        <v>108</v>
      </c>
      <c r="C6" s="54" t="s">
        <v>318</v>
      </c>
      <c r="D6" s="52" t="s">
        <v>339</v>
      </c>
      <c r="E6" s="52" t="s">
        <v>148</v>
      </c>
      <c r="F6" s="52" t="s">
        <v>2</v>
      </c>
      <c r="G6" s="265" t="s">
        <v>199</v>
      </c>
      <c r="H6" s="265" t="s">
        <v>200</v>
      </c>
      <c r="I6" s="265" t="s">
        <v>203</v>
      </c>
      <c r="J6" s="265" t="s">
        <v>340</v>
      </c>
      <c r="K6" s="265" t="s">
        <v>341</v>
      </c>
      <c r="L6" s="265" t="s">
        <v>120</v>
      </c>
      <c r="M6" s="50" t="s">
        <v>320</v>
      </c>
      <c r="N6" s="271" t="s">
        <v>203</v>
      </c>
      <c r="O6" s="272" t="s">
        <v>202</v>
      </c>
      <c r="P6" s="272" t="s">
        <v>342</v>
      </c>
      <c r="Q6" s="272" t="s">
        <v>151</v>
      </c>
      <c r="R6" s="272" t="s">
        <v>121</v>
      </c>
      <c r="S6" s="53" t="s">
        <v>52</v>
      </c>
      <c r="T6" s="53" t="s">
        <v>316</v>
      </c>
      <c r="U6" s="53" t="s">
        <v>317</v>
      </c>
      <c r="V6" s="54" t="s">
        <v>343</v>
      </c>
      <c r="W6" s="52" t="s">
        <v>254</v>
      </c>
      <c r="X6" s="52" t="s">
        <v>255</v>
      </c>
      <c r="Y6" s="312" t="s">
        <v>250</v>
      </c>
      <c r="Z6" s="88" t="s">
        <v>119</v>
      </c>
      <c r="AA6" s="88" t="s">
        <v>118</v>
      </c>
      <c r="AB6" s="87" t="s">
        <v>54</v>
      </c>
      <c r="AC6" s="78" t="s">
        <v>120</v>
      </c>
      <c r="AD6" s="78" t="s">
        <v>121</v>
      </c>
      <c r="AE6" s="54" t="s">
        <v>55</v>
      </c>
      <c r="AF6" s="54" t="s">
        <v>145</v>
      </c>
      <c r="AG6" s="54" t="s">
        <v>144</v>
      </c>
      <c r="AI6" s="244">
        <v>102562302</v>
      </c>
      <c r="AJ6" s="244">
        <v>102562302</v>
      </c>
      <c r="AK6" s="229"/>
      <c r="AL6" s="73"/>
      <c r="AM6" s="244">
        <v>102562304</v>
      </c>
      <c r="AN6" s="247"/>
    </row>
    <row r="7" spans="1:40" s="25" customFormat="1" ht="60" x14ac:dyDescent="0.25">
      <c r="A7" s="304" t="s">
        <v>271</v>
      </c>
      <c r="B7" s="304"/>
      <c r="C7" s="304"/>
      <c r="D7" s="8"/>
      <c r="E7" s="8"/>
      <c r="F7" s="8"/>
      <c r="G7" s="266"/>
      <c r="H7" s="266"/>
      <c r="I7" s="266"/>
      <c r="J7" s="266"/>
      <c r="K7" s="266"/>
      <c r="L7" s="266"/>
      <c r="M7" s="185"/>
      <c r="N7" s="273"/>
      <c r="O7" s="273"/>
      <c r="P7" s="273"/>
      <c r="Q7" s="273"/>
      <c r="R7" s="273"/>
      <c r="S7" s="3"/>
      <c r="T7" s="3"/>
      <c r="U7" s="3"/>
      <c r="V7" s="3"/>
      <c r="W7" s="3"/>
      <c r="X7" s="3"/>
      <c r="Y7" s="3"/>
      <c r="Z7" s="8"/>
      <c r="AA7" s="8"/>
      <c r="AB7" s="3"/>
      <c r="AC7" s="8"/>
      <c r="AD7" s="8"/>
      <c r="AE7" s="3"/>
      <c r="AF7" s="3"/>
      <c r="AG7" s="3"/>
      <c r="AI7" s="217" t="s">
        <v>208</v>
      </c>
      <c r="AJ7" s="82" t="s">
        <v>63</v>
      </c>
      <c r="AK7" s="91" t="s">
        <v>56</v>
      </c>
      <c r="AL7" s="82" t="s">
        <v>63</v>
      </c>
      <c r="AM7" s="82" t="s">
        <v>63</v>
      </c>
      <c r="AN7" s="247"/>
    </row>
    <row r="8" spans="1:40" s="25" customFormat="1" x14ac:dyDescent="0.25">
      <c r="A8" s="304" t="s">
        <v>334</v>
      </c>
      <c r="B8" s="304"/>
      <c r="C8" s="304"/>
      <c r="D8" s="203"/>
      <c r="E8" s="203"/>
      <c r="F8" s="203"/>
      <c r="G8" s="267"/>
      <c r="H8" s="267"/>
      <c r="I8" s="267"/>
      <c r="J8" s="267"/>
      <c r="K8" s="267"/>
      <c r="L8" s="267"/>
      <c r="M8" s="279"/>
      <c r="N8" s="274"/>
      <c r="O8" s="274"/>
      <c r="P8" s="274"/>
      <c r="Q8" s="274"/>
      <c r="R8" s="274"/>
      <c r="S8" s="3"/>
      <c r="T8" s="3"/>
      <c r="U8" s="3"/>
      <c r="V8" s="3"/>
      <c r="W8" s="203"/>
      <c r="X8" s="203"/>
      <c r="Y8" s="3"/>
      <c r="Z8" s="203"/>
      <c r="AA8" s="203"/>
      <c r="AB8" s="3"/>
      <c r="AC8" s="203"/>
      <c r="AD8" s="203"/>
      <c r="AE8" s="3"/>
      <c r="AF8" s="3"/>
      <c r="AG8" s="3"/>
      <c r="AI8" s="225"/>
      <c r="AJ8" s="42"/>
      <c r="AK8" s="185"/>
      <c r="AL8" s="225"/>
      <c r="AM8" s="225"/>
      <c r="AN8" s="247"/>
    </row>
    <row r="9" spans="1:40" x14ac:dyDescent="0.25">
      <c r="A9" s="79" t="s">
        <v>9</v>
      </c>
      <c r="B9" s="79">
        <f>(AB9+AE9)/$G$1+U9</f>
        <v>12</v>
      </c>
      <c r="C9" s="308">
        <f>V9+Y9+AB9+AE9</f>
        <v>30000</v>
      </c>
      <c r="D9" s="203">
        <v>6</v>
      </c>
      <c r="E9" s="203"/>
      <c r="F9" s="203"/>
      <c r="G9" s="267"/>
      <c r="H9" s="267"/>
      <c r="I9" s="267"/>
      <c r="J9" s="267"/>
      <c r="K9" s="267"/>
      <c r="L9" s="267"/>
      <c r="M9" s="279">
        <f>D9+(E9*G9)</f>
        <v>6</v>
      </c>
      <c r="N9" s="274"/>
      <c r="O9" s="274"/>
      <c r="P9" s="274"/>
      <c r="Q9" s="274"/>
      <c r="R9" s="274"/>
      <c r="S9" s="3">
        <f>D9+(E9*G9)</f>
        <v>6</v>
      </c>
      <c r="T9" s="3">
        <f>D9+(E9*I9)</f>
        <v>6</v>
      </c>
      <c r="U9" s="3">
        <f t="shared" ref="U9:U12" si="0">S9+T9</f>
        <v>12</v>
      </c>
      <c r="V9" s="3">
        <f t="shared" ref="V9:V12" si="1">U9*$G$1</f>
        <v>30000</v>
      </c>
      <c r="W9" s="203"/>
      <c r="X9" s="203"/>
      <c r="Y9" s="3">
        <f>(W9+X9)*$G$2*$D$1</f>
        <v>0</v>
      </c>
      <c r="Z9" s="203"/>
      <c r="AA9" s="203"/>
      <c r="AB9" s="3">
        <f>(Z9+AA9)*$G$2*$D$1*0.4</f>
        <v>0</v>
      </c>
      <c r="AC9" s="203"/>
      <c r="AD9" s="203"/>
      <c r="AE9" s="3">
        <f>(AC9+AD9)*$G$2*$D$1*0.4</f>
        <v>0</v>
      </c>
      <c r="AF9" s="3">
        <f>(AB9+AE9)/$G$1+U9</f>
        <v>12</v>
      </c>
      <c r="AG9" s="3"/>
      <c r="AI9" s="81"/>
      <c r="AJ9" s="1"/>
      <c r="AK9" s="185">
        <f>SUM(O9,H9)</f>
        <v>0</v>
      </c>
      <c r="AL9" s="1"/>
      <c r="AM9" s="1"/>
    </row>
    <row r="10" spans="1:40" ht="30" x14ac:dyDescent="0.25">
      <c r="A10" s="79" t="s">
        <v>335</v>
      </c>
      <c r="B10" s="360">
        <f t="shared" ref="B10:B13" si="2">(AB10+AE10)/$G$1+U10</f>
        <v>442.17599999999999</v>
      </c>
      <c r="C10" s="308">
        <f t="shared" ref="C10:C13" si="3">V10+Y10+AB10+AE10</f>
        <v>1105440</v>
      </c>
      <c r="D10" s="203">
        <v>30</v>
      </c>
      <c r="E10" s="203">
        <v>26</v>
      </c>
      <c r="F10" s="203">
        <v>34</v>
      </c>
      <c r="G10" s="267">
        <v>6</v>
      </c>
      <c r="H10" s="267">
        <v>1</v>
      </c>
      <c r="I10" s="267">
        <v>6</v>
      </c>
      <c r="J10" s="267"/>
      <c r="K10" s="267">
        <v>3</v>
      </c>
      <c r="L10" s="267"/>
      <c r="M10" s="279">
        <f t="shared" ref="M10:M13" si="4">D10+(E10*G10)</f>
        <v>186</v>
      </c>
      <c r="N10" s="274">
        <v>6</v>
      </c>
      <c r="O10" s="274">
        <v>1</v>
      </c>
      <c r="P10" s="274"/>
      <c r="Q10" s="274">
        <v>3</v>
      </c>
      <c r="R10" s="274"/>
      <c r="S10" s="3">
        <f>D10+(E10*G10)</f>
        <v>186</v>
      </c>
      <c r="T10" s="3">
        <f>D10+(E10*I10)</f>
        <v>186</v>
      </c>
      <c r="U10" s="3">
        <f t="shared" si="0"/>
        <v>372</v>
      </c>
      <c r="V10" s="3">
        <f t="shared" si="1"/>
        <v>930000</v>
      </c>
      <c r="W10" s="203"/>
      <c r="X10" s="203"/>
      <c r="Y10" s="3">
        <f>(W10+X10)*$G$2*$D$1</f>
        <v>0</v>
      </c>
      <c r="Z10" s="203">
        <v>3</v>
      </c>
      <c r="AA10" s="203">
        <v>3</v>
      </c>
      <c r="AB10" s="3">
        <f t="shared" ref="AB10:AB13" si="5">(Z10+AA10)*$G$2*$D$1*0.4</f>
        <v>175440</v>
      </c>
      <c r="AC10" s="203"/>
      <c r="AD10" s="203"/>
      <c r="AE10" s="3">
        <f t="shared" ref="AE10:AE13" si="6">(AC10+AD10)*$G$2*$D$1*0.4</f>
        <v>0</v>
      </c>
      <c r="AF10" s="3">
        <f>(AB10+AE10)/$G$1+U10</f>
        <v>442.17599999999999</v>
      </c>
      <c r="AG10" s="3"/>
      <c r="AI10" s="81"/>
      <c r="AJ10" s="1"/>
      <c r="AK10" s="185">
        <f>SUM(O10,H10)</f>
        <v>2</v>
      </c>
      <c r="AL10" s="1"/>
      <c r="AM10" s="1"/>
    </row>
    <row r="11" spans="1:40" x14ac:dyDescent="0.25">
      <c r="A11" s="79" t="s">
        <v>252</v>
      </c>
      <c r="B11" s="360">
        <f t="shared" si="2"/>
        <v>180</v>
      </c>
      <c r="C11" s="308">
        <f t="shared" si="3"/>
        <v>450000</v>
      </c>
      <c r="D11" s="203"/>
      <c r="E11" s="203">
        <v>10</v>
      </c>
      <c r="F11" s="203">
        <v>20</v>
      </c>
      <c r="G11" s="267">
        <v>10</v>
      </c>
      <c r="H11" s="267">
        <v>3</v>
      </c>
      <c r="I11" s="267">
        <v>8</v>
      </c>
      <c r="J11" s="267"/>
      <c r="K11" s="267"/>
      <c r="L11" s="267"/>
      <c r="M11" s="279">
        <f t="shared" si="4"/>
        <v>100</v>
      </c>
      <c r="N11" s="274">
        <v>10</v>
      </c>
      <c r="O11" s="274">
        <v>3</v>
      </c>
      <c r="P11" s="274"/>
      <c r="Q11" s="274"/>
      <c r="R11" s="274"/>
      <c r="S11" s="3">
        <f>D11+(E11*G11)</f>
        <v>100</v>
      </c>
      <c r="T11" s="3">
        <f>D11+(E11*I11)</f>
        <v>80</v>
      </c>
      <c r="U11" s="3">
        <f t="shared" ref="U11" si="7">S11+T11</f>
        <v>180</v>
      </c>
      <c r="V11" s="3">
        <f t="shared" ref="V11" si="8">U11*$G$1</f>
        <v>450000</v>
      </c>
      <c r="W11" s="203"/>
      <c r="X11" s="203"/>
      <c r="Y11" s="3">
        <f>(W11+X11)*$G$2*$D$1</f>
        <v>0</v>
      </c>
      <c r="Z11" s="203"/>
      <c r="AA11" s="203"/>
      <c r="AB11" s="3">
        <f t="shared" si="5"/>
        <v>0</v>
      </c>
      <c r="AC11" s="203"/>
      <c r="AD11" s="203"/>
      <c r="AE11" s="3">
        <f t="shared" si="6"/>
        <v>0</v>
      </c>
      <c r="AF11" s="3">
        <f>(AB11+AE11)/$G$1+U11</f>
        <v>180</v>
      </c>
      <c r="AG11" s="3"/>
      <c r="AI11" s="81"/>
      <c r="AJ11" s="1"/>
      <c r="AK11" s="185"/>
      <c r="AL11" s="1"/>
      <c r="AM11" s="1"/>
    </row>
    <row r="12" spans="1:40" x14ac:dyDescent="0.25">
      <c r="A12" s="79" t="s">
        <v>253</v>
      </c>
      <c r="B12" s="360">
        <f t="shared" si="2"/>
        <v>12</v>
      </c>
      <c r="C12" s="308">
        <f t="shared" si="3"/>
        <v>30000</v>
      </c>
      <c r="D12" s="203"/>
      <c r="E12" s="202">
        <v>6</v>
      </c>
      <c r="F12" s="202">
        <v>10</v>
      </c>
      <c r="G12" s="268">
        <v>1</v>
      </c>
      <c r="H12" s="268">
        <v>0</v>
      </c>
      <c r="I12" s="268">
        <v>1</v>
      </c>
      <c r="J12" s="268"/>
      <c r="K12" s="268"/>
      <c r="L12" s="268"/>
      <c r="M12" s="279">
        <f t="shared" si="4"/>
        <v>6</v>
      </c>
      <c r="N12" s="301">
        <v>1</v>
      </c>
      <c r="O12" s="301">
        <v>0</v>
      </c>
      <c r="P12" s="301"/>
      <c r="Q12" s="301"/>
      <c r="R12" s="301"/>
      <c r="S12" s="3">
        <f>D12+(E12*G12)</f>
        <v>6</v>
      </c>
      <c r="T12" s="3">
        <f>D12+(E12*I12)</f>
        <v>6</v>
      </c>
      <c r="U12" s="3">
        <f t="shared" si="0"/>
        <v>12</v>
      </c>
      <c r="V12" s="3">
        <f t="shared" si="1"/>
        <v>30000</v>
      </c>
      <c r="W12" s="203"/>
      <c r="X12" s="203"/>
      <c r="Y12" s="3">
        <f>(W12+X12)*$G$2*$D$1</f>
        <v>0</v>
      </c>
      <c r="Z12" s="203"/>
      <c r="AA12" s="203"/>
      <c r="AB12" s="3">
        <f t="shared" si="5"/>
        <v>0</v>
      </c>
      <c r="AC12" s="203"/>
      <c r="AD12" s="203"/>
      <c r="AE12" s="3">
        <f t="shared" si="6"/>
        <v>0</v>
      </c>
      <c r="AF12" s="3">
        <f>(AB12+AE12)/$G$1+U12</f>
        <v>12</v>
      </c>
      <c r="AG12" s="3"/>
      <c r="AI12" s="205">
        <v>0</v>
      </c>
      <c r="AJ12" s="42">
        <f>IF(AK12&gt;0,(U12-D12*2)*(H12+O12)/(G12+I12),0)</f>
        <v>0</v>
      </c>
      <c r="AK12" s="185">
        <f>SUM(O12,H12)</f>
        <v>0</v>
      </c>
      <c r="AL12" s="1"/>
      <c r="AM12" s="1"/>
    </row>
    <row r="13" spans="1:40" x14ac:dyDescent="0.25">
      <c r="A13" s="79" t="s">
        <v>272</v>
      </c>
      <c r="B13" s="360">
        <f t="shared" si="2"/>
        <v>12</v>
      </c>
      <c r="C13" s="308">
        <f t="shared" si="3"/>
        <v>30000</v>
      </c>
      <c r="D13" s="203">
        <v>6</v>
      </c>
      <c r="E13" s="202"/>
      <c r="F13" s="202"/>
      <c r="G13" s="268"/>
      <c r="H13" s="268"/>
      <c r="I13" s="268"/>
      <c r="J13" s="268"/>
      <c r="K13" s="268"/>
      <c r="L13" s="268"/>
      <c r="M13" s="279">
        <f t="shared" si="4"/>
        <v>6</v>
      </c>
      <c r="N13" s="301"/>
      <c r="O13" s="301"/>
      <c r="P13" s="301"/>
      <c r="Q13" s="301"/>
      <c r="R13" s="301"/>
      <c r="S13" s="3">
        <f>D13+(E13*G13)</f>
        <v>6</v>
      </c>
      <c r="T13" s="3">
        <f>D13+(E13*I13)</f>
        <v>6</v>
      </c>
      <c r="U13" s="3">
        <f t="shared" ref="U13" si="9">S13+T13</f>
        <v>12</v>
      </c>
      <c r="V13" s="3">
        <f t="shared" ref="V13" si="10">U13*$G$1</f>
        <v>30000</v>
      </c>
      <c r="W13" s="203"/>
      <c r="X13" s="203"/>
      <c r="Y13" s="3">
        <f>(W13+X13)*$G$2*$D$1</f>
        <v>0</v>
      </c>
      <c r="Z13" s="203"/>
      <c r="AA13" s="203"/>
      <c r="AB13" s="3">
        <f t="shared" si="5"/>
        <v>0</v>
      </c>
      <c r="AC13" s="203"/>
      <c r="AD13" s="203"/>
      <c r="AE13" s="3">
        <f t="shared" si="6"/>
        <v>0</v>
      </c>
      <c r="AF13" s="3">
        <f>(AB13+AE13)/$G$1+U13</f>
        <v>12</v>
      </c>
      <c r="AG13" s="3"/>
      <c r="AI13" s="205"/>
      <c r="AJ13" s="42"/>
      <c r="AK13" s="185"/>
      <c r="AL13" s="1"/>
      <c r="AM13" s="1"/>
    </row>
    <row r="14" spans="1:40" x14ac:dyDescent="0.25">
      <c r="A14" s="79"/>
      <c r="B14" s="360"/>
      <c r="C14" s="79"/>
      <c r="D14" s="203"/>
      <c r="E14" s="202"/>
      <c r="F14" s="202"/>
      <c r="G14" s="310"/>
      <c r="H14" s="310"/>
      <c r="I14" s="310"/>
      <c r="J14" s="310"/>
      <c r="K14" s="310"/>
      <c r="L14" s="310"/>
      <c r="M14" s="218"/>
      <c r="N14" s="311"/>
      <c r="O14" s="311"/>
      <c r="P14" s="311"/>
      <c r="Q14" s="311"/>
      <c r="R14" s="311"/>
      <c r="S14" s="3"/>
      <c r="T14" s="3"/>
      <c r="U14" s="3"/>
      <c r="V14" s="3"/>
      <c r="W14" s="203"/>
      <c r="X14" s="203"/>
      <c r="Y14" s="3"/>
      <c r="Z14" s="203"/>
      <c r="AA14" s="203"/>
      <c r="AB14" s="3"/>
      <c r="AC14" s="203"/>
      <c r="AD14" s="203"/>
      <c r="AE14" s="3"/>
      <c r="AF14" s="3"/>
      <c r="AG14" s="3"/>
      <c r="AI14" s="205"/>
      <c r="AJ14" s="42"/>
      <c r="AK14" s="185"/>
      <c r="AL14" s="1"/>
      <c r="AM14" s="1"/>
    </row>
    <row r="15" spans="1:40" x14ac:dyDescent="0.25">
      <c r="A15" s="304" t="s">
        <v>221</v>
      </c>
      <c r="B15" s="361"/>
      <c r="C15" s="304"/>
      <c r="D15" s="203"/>
      <c r="E15" s="202"/>
      <c r="F15" s="202"/>
      <c r="G15" s="268"/>
      <c r="H15" s="268"/>
      <c r="I15" s="268"/>
      <c r="J15" s="268"/>
      <c r="K15" s="268"/>
      <c r="L15" s="268"/>
      <c r="M15" s="280"/>
      <c r="N15" s="301"/>
      <c r="O15" s="301"/>
      <c r="P15" s="301"/>
      <c r="Q15" s="301"/>
      <c r="R15" s="301"/>
      <c r="S15" s="3"/>
      <c r="T15" s="3"/>
      <c r="U15" s="3"/>
      <c r="V15" s="3"/>
      <c r="W15" s="203"/>
      <c r="X15" s="203"/>
      <c r="Y15" s="3"/>
      <c r="Z15" s="203"/>
      <c r="AA15" s="203"/>
      <c r="AB15" s="3"/>
      <c r="AC15" s="203"/>
      <c r="AD15" s="203"/>
      <c r="AE15" s="3"/>
      <c r="AF15" s="3"/>
      <c r="AG15" s="3"/>
      <c r="AI15" s="205"/>
      <c r="AJ15" s="42"/>
      <c r="AK15" s="185"/>
      <c r="AL15" s="1"/>
      <c r="AM15" s="1"/>
    </row>
    <row r="16" spans="1:40" x14ac:dyDescent="0.25">
      <c r="A16" s="304" t="s">
        <v>222</v>
      </c>
      <c r="B16" s="361"/>
      <c r="C16" s="304"/>
      <c r="D16" s="203"/>
      <c r="E16" s="202"/>
      <c r="F16" s="202"/>
      <c r="G16" s="268"/>
      <c r="H16" s="268"/>
      <c r="I16" s="268"/>
      <c r="J16" s="268"/>
      <c r="K16" s="268"/>
      <c r="L16" s="268"/>
      <c r="M16" s="280"/>
      <c r="N16" s="301"/>
      <c r="O16" s="301"/>
      <c r="P16" s="301"/>
      <c r="Q16" s="301"/>
      <c r="R16" s="301"/>
      <c r="S16" s="3"/>
      <c r="T16" s="3"/>
      <c r="U16" s="3"/>
      <c r="V16" s="3"/>
      <c r="W16" s="203"/>
      <c r="X16" s="203"/>
      <c r="Y16" s="3"/>
      <c r="Z16" s="203"/>
      <c r="AA16" s="203"/>
      <c r="AB16" s="3"/>
      <c r="AC16" s="203"/>
      <c r="AD16" s="203"/>
      <c r="AE16" s="3"/>
      <c r="AF16" s="3"/>
      <c r="AG16" s="3"/>
      <c r="AI16" s="205"/>
      <c r="AJ16" s="42"/>
      <c r="AK16" s="185"/>
      <c r="AL16" s="1"/>
      <c r="AM16" s="1"/>
    </row>
    <row r="17" spans="1:40" x14ac:dyDescent="0.25">
      <c r="A17" s="79" t="s">
        <v>336</v>
      </c>
      <c r="B17" s="360">
        <f>(AB17+AE17)/$G$1+U17</f>
        <v>128</v>
      </c>
      <c r="C17" s="308">
        <f t="shared" ref="C17" si="11">V17+Y17+AB17+AE17</f>
        <v>320000</v>
      </c>
      <c r="D17" s="203">
        <v>16</v>
      </c>
      <c r="E17" s="202">
        <v>8</v>
      </c>
      <c r="F17" s="202">
        <v>34</v>
      </c>
      <c r="G17" s="268">
        <v>6</v>
      </c>
      <c r="H17" s="268">
        <v>2</v>
      </c>
      <c r="I17" s="268">
        <v>6</v>
      </c>
      <c r="J17" s="268"/>
      <c r="K17" s="268"/>
      <c r="L17" s="268"/>
      <c r="M17" s="279">
        <f t="shared" ref="M17" si="12">D17+(E17*G17)</f>
        <v>64</v>
      </c>
      <c r="N17" s="301">
        <v>6</v>
      </c>
      <c r="O17" s="301">
        <v>2</v>
      </c>
      <c r="P17" s="301"/>
      <c r="Q17" s="301"/>
      <c r="R17" s="301"/>
      <c r="S17" s="3">
        <f>D17+(E17*G17)</f>
        <v>64</v>
      </c>
      <c r="T17" s="3">
        <f>D17+(E17*I17)</f>
        <v>64</v>
      </c>
      <c r="U17" s="3">
        <f t="shared" ref="U17" si="13">S17+T17</f>
        <v>128</v>
      </c>
      <c r="V17" s="3">
        <f>U17*$G$1</f>
        <v>320000</v>
      </c>
      <c r="W17" s="203"/>
      <c r="X17" s="203"/>
      <c r="Y17" s="3">
        <f>(W17+X17)*$G$2*$D$1</f>
        <v>0</v>
      </c>
      <c r="Z17" s="203"/>
      <c r="AA17" s="203"/>
      <c r="AB17" s="3">
        <f t="shared" ref="AB17" si="14">(Z17+AA17)*$G$2*$D$1*0.4</f>
        <v>0</v>
      </c>
      <c r="AC17" s="203"/>
      <c r="AD17" s="203"/>
      <c r="AE17" s="3">
        <f>(AC17+AD17)*$G$2*$D$1*0.4</f>
        <v>0</v>
      </c>
      <c r="AF17" s="3">
        <f>(AB17+AE17)/$G$1+U17</f>
        <v>128</v>
      </c>
      <c r="AG17" s="3"/>
      <c r="AI17" s="205">
        <v>0</v>
      </c>
      <c r="AJ17" s="42">
        <f>IF(AK17&gt;0,(U17-D17*2)*(H17+O17)/(G17+I17),0)</f>
        <v>32</v>
      </c>
      <c r="AK17" s="185">
        <f>SUM(O17,H17)</f>
        <v>4</v>
      </c>
      <c r="AL17" s="1"/>
      <c r="AM17" s="1"/>
    </row>
    <row r="18" spans="1:40" x14ac:dyDescent="0.25">
      <c r="A18" s="79"/>
      <c r="B18" s="360"/>
      <c r="C18" s="79"/>
      <c r="D18" s="203"/>
      <c r="E18" s="202"/>
      <c r="F18" s="202"/>
      <c r="G18" s="268"/>
      <c r="H18" s="268"/>
      <c r="I18" s="268"/>
      <c r="J18" s="268"/>
      <c r="K18" s="268"/>
      <c r="L18" s="268"/>
      <c r="M18" s="280"/>
      <c r="N18" s="301"/>
      <c r="O18" s="301"/>
      <c r="P18" s="301"/>
      <c r="Q18" s="301"/>
      <c r="R18" s="301"/>
      <c r="S18" s="3"/>
      <c r="T18" s="3"/>
      <c r="U18" s="3"/>
      <c r="V18" s="3"/>
      <c r="W18" s="203"/>
      <c r="X18" s="203"/>
      <c r="Y18" s="3"/>
      <c r="Z18" s="203"/>
      <c r="AA18" s="203"/>
      <c r="AB18" s="3"/>
      <c r="AC18" s="203"/>
      <c r="AD18" s="203"/>
      <c r="AE18" s="3"/>
      <c r="AF18" s="3"/>
      <c r="AG18" s="3"/>
      <c r="AI18" s="205"/>
      <c r="AJ18" s="42"/>
      <c r="AK18" s="185"/>
      <c r="AL18" s="1"/>
      <c r="AM18" s="1"/>
    </row>
    <row r="19" spans="1:40" x14ac:dyDescent="0.25">
      <c r="A19" s="304" t="s">
        <v>273</v>
      </c>
      <c r="B19" s="361"/>
      <c r="C19" s="304"/>
      <c r="D19" s="203"/>
      <c r="E19" s="202"/>
      <c r="F19" s="202"/>
      <c r="G19" s="268"/>
      <c r="H19" s="268"/>
      <c r="I19" s="268"/>
      <c r="J19" s="268"/>
      <c r="K19" s="268"/>
      <c r="L19" s="268"/>
      <c r="M19" s="280"/>
      <c r="N19" s="301"/>
      <c r="O19" s="301"/>
      <c r="P19" s="301"/>
      <c r="Q19" s="301"/>
      <c r="R19" s="301"/>
      <c r="S19" s="3"/>
      <c r="T19" s="3"/>
      <c r="U19" s="3"/>
      <c r="V19" s="3"/>
      <c r="W19" s="203"/>
      <c r="X19" s="203"/>
      <c r="Y19" s="3"/>
      <c r="Z19" s="203"/>
      <c r="AA19" s="203"/>
      <c r="AB19" s="3"/>
      <c r="AC19" s="203"/>
      <c r="AD19" s="203"/>
      <c r="AE19" s="3"/>
      <c r="AF19" s="3"/>
      <c r="AG19" s="3"/>
      <c r="AI19" s="205"/>
      <c r="AJ19" s="42"/>
      <c r="AK19" s="185"/>
      <c r="AL19" s="1"/>
      <c r="AM19" s="1"/>
    </row>
    <row r="20" spans="1:40" x14ac:dyDescent="0.25">
      <c r="A20" s="304" t="s">
        <v>274</v>
      </c>
      <c r="B20" s="361"/>
      <c r="C20" s="304"/>
      <c r="D20" s="203"/>
      <c r="E20" s="202"/>
      <c r="F20" s="202"/>
      <c r="G20" s="268"/>
      <c r="H20" s="268"/>
      <c r="I20" s="268"/>
      <c r="J20" s="268"/>
      <c r="K20" s="268"/>
      <c r="L20" s="268"/>
      <c r="M20" s="280"/>
      <c r="N20" s="301"/>
      <c r="O20" s="301"/>
      <c r="P20" s="301"/>
      <c r="Q20" s="301"/>
      <c r="R20" s="301"/>
      <c r="S20" s="3"/>
      <c r="T20" s="3"/>
      <c r="U20" s="3"/>
      <c r="V20" s="3"/>
      <c r="W20" s="203"/>
      <c r="X20" s="203"/>
      <c r="Y20" s="3"/>
      <c r="Z20" s="203"/>
      <c r="AA20" s="203"/>
      <c r="AB20" s="3"/>
      <c r="AC20" s="203"/>
      <c r="AD20" s="203"/>
      <c r="AE20" s="3"/>
      <c r="AF20" s="3"/>
      <c r="AG20" s="3"/>
      <c r="AI20" s="205"/>
      <c r="AJ20" s="42"/>
      <c r="AK20" s="185"/>
      <c r="AL20" s="1"/>
      <c r="AM20" s="1"/>
    </row>
    <row r="21" spans="1:40" x14ac:dyDescent="0.25">
      <c r="A21" s="82" t="s">
        <v>275</v>
      </c>
      <c r="B21" s="360">
        <f t="shared" ref="B21:B25" si="15">(AB21+AE21)/$G$1+U21</f>
        <v>0</v>
      </c>
      <c r="C21" s="308">
        <f t="shared" ref="C21:C25" si="16">V21+Y21+AB21+AE21</f>
        <v>0</v>
      </c>
      <c r="D21" s="203">
        <v>0</v>
      </c>
      <c r="E21" s="202"/>
      <c r="F21" s="202"/>
      <c r="G21" s="268"/>
      <c r="H21" s="268"/>
      <c r="I21" s="268"/>
      <c r="J21" s="268"/>
      <c r="K21" s="268"/>
      <c r="L21" s="268"/>
      <c r="M21" s="279">
        <f t="shared" ref="M21:M25" si="17">D21+(E21*G21)</f>
        <v>0</v>
      </c>
      <c r="N21" s="301"/>
      <c r="O21" s="301"/>
      <c r="P21" s="301"/>
      <c r="Q21" s="301"/>
      <c r="R21" s="301"/>
      <c r="S21" s="3">
        <f>D21+(E21*G21)</f>
        <v>0</v>
      </c>
      <c r="T21" s="3">
        <f>D21+(E21*I21)</f>
        <v>0</v>
      </c>
      <c r="U21" s="3">
        <f t="shared" ref="U21" si="18">S21+T21</f>
        <v>0</v>
      </c>
      <c r="V21" s="3">
        <f>U21*$G$1</f>
        <v>0</v>
      </c>
      <c r="W21" s="203"/>
      <c r="X21" s="203"/>
      <c r="Y21" s="3">
        <f>(W21+X21)*$G$2*$D$1</f>
        <v>0</v>
      </c>
      <c r="Z21" s="203"/>
      <c r="AA21" s="203"/>
      <c r="AB21" s="3">
        <f t="shared" ref="AB21:AB25" si="19">(Z21+AA21)*$G$2*$D$1*0.4</f>
        <v>0</v>
      </c>
      <c r="AC21" s="203"/>
      <c r="AD21" s="203"/>
      <c r="AE21" s="3">
        <f t="shared" ref="AE21:AE25" si="20">(AC21+AD21)*$G$2*$D$1*0.4</f>
        <v>0</v>
      </c>
      <c r="AF21" s="3">
        <f>(AB21+AE21)/$G$1+U21</f>
        <v>0</v>
      </c>
      <c r="AG21" s="3"/>
      <c r="AI21" s="205"/>
      <c r="AJ21" s="42"/>
      <c r="AK21" s="185"/>
      <c r="AL21" s="1"/>
      <c r="AM21" s="1"/>
    </row>
    <row r="22" spans="1:40" x14ac:dyDescent="0.25">
      <c r="A22" s="79" t="s">
        <v>337</v>
      </c>
      <c r="B22" s="360">
        <f t="shared" si="15"/>
        <v>402.78399999999999</v>
      </c>
      <c r="C22" s="308">
        <f t="shared" si="16"/>
        <v>1006960</v>
      </c>
      <c r="D22" s="203">
        <v>34</v>
      </c>
      <c r="E22" s="202">
        <v>24</v>
      </c>
      <c r="F22" s="202">
        <v>34</v>
      </c>
      <c r="G22" s="268">
        <v>6</v>
      </c>
      <c r="H22" s="268">
        <v>3</v>
      </c>
      <c r="I22" s="268">
        <v>6</v>
      </c>
      <c r="J22" s="268">
        <v>0</v>
      </c>
      <c r="K22" s="268">
        <v>1</v>
      </c>
      <c r="L22" s="268">
        <v>1</v>
      </c>
      <c r="M22" s="279">
        <f t="shared" si="17"/>
        <v>178</v>
      </c>
      <c r="N22" s="301">
        <v>6</v>
      </c>
      <c r="O22" s="301">
        <v>3</v>
      </c>
      <c r="P22" s="301">
        <v>0</v>
      </c>
      <c r="Q22" s="301">
        <v>1</v>
      </c>
      <c r="R22" s="301">
        <v>1</v>
      </c>
      <c r="S22" s="3">
        <f>D22+(E22*G22)</f>
        <v>178</v>
      </c>
      <c r="T22" s="3">
        <f>D22+(E22*I22)</f>
        <v>178</v>
      </c>
      <c r="U22" s="3">
        <f t="shared" ref="U22:U23" si="21">S22+T22</f>
        <v>356</v>
      </c>
      <c r="V22" s="3">
        <f>U22*$G$1</f>
        <v>890000</v>
      </c>
      <c r="W22" s="203"/>
      <c r="X22" s="203"/>
      <c r="Y22" s="3">
        <f>(W22+X22)*$G$2*$D$1</f>
        <v>0</v>
      </c>
      <c r="Z22" s="203">
        <v>1</v>
      </c>
      <c r="AA22" s="203">
        <v>1</v>
      </c>
      <c r="AB22" s="3">
        <f t="shared" si="19"/>
        <v>58480</v>
      </c>
      <c r="AC22" s="203">
        <v>1</v>
      </c>
      <c r="AD22" s="203">
        <v>1</v>
      </c>
      <c r="AE22" s="3">
        <f t="shared" si="20"/>
        <v>58480</v>
      </c>
      <c r="AF22" s="3">
        <f>(AB22+AE22)/$G$1+U22</f>
        <v>402.78399999999999</v>
      </c>
      <c r="AG22" s="3"/>
      <c r="AI22" s="205">
        <f>D19*$AI$4*2</f>
        <v>0</v>
      </c>
      <c r="AJ22" s="42">
        <f>IF(AK22&gt;0,(U22-D22*2)*(H22+O22)/(G22+I22),0)</f>
        <v>144</v>
      </c>
      <c r="AK22" s="185">
        <f>SUM(O22,H22)</f>
        <v>6</v>
      </c>
      <c r="AL22" s="1"/>
      <c r="AM22" s="1"/>
    </row>
    <row r="23" spans="1:40" x14ac:dyDescent="0.25">
      <c r="A23" s="79" t="s">
        <v>338</v>
      </c>
      <c r="B23" s="360">
        <f t="shared" si="15"/>
        <v>246.78399999999999</v>
      </c>
      <c r="C23" s="308">
        <f t="shared" si="16"/>
        <v>616960</v>
      </c>
      <c r="D23" s="203">
        <v>16</v>
      </c>
      <c r="E23" s="202">
        <v>14</v>
      </c>
      <c r="F23" s="202">
        <v>34</v>
      </c>
      <c r="G23" s="268">
        <v>6</v>
      </c>
      <c r="H23" s="268">
        <v>4</v>
      </c>
      <c r="I23" s="268">
        <v>6</v>
      </c>
      <c r="J23" s="268">
        <v>0</v>
      </c>
      <c r="K23" s="268">
        <v>1</v>
      </c>
      <c r="L23" s="268">
        <v>1</v>
      </c>
      <c r="M23" s="279">
        <f t="shared" si="17"/>
        <v>100</v>
      </c>
      <c r="N23" s="301">
        <v>6</v>
      </c>
      <c r="O23" s="301">
        <v>2</v>
      </c>
      <c r="P23" s="301">
        <v>0</v>
      </c>
      <c r="Q23" s="301">
        <v>1</v>
      </c>
      <c r="R23" s="301">
        <v>1</v>
      </c>
      <c r="S23" s="3">
        <f>D23+(E23*G23)</f>
        <v>100</v>
      </c>
      <c r="T23" s="3">
        <f>D23+(E23*I23)</f>
        <v>100</v>
      </c>
      <c r="U23" s="3">
        <f t="shared" si="21"/>
        <v>200</v>
      </c>
      <c r="V23" s="3">
        <f>U23*$G$1</f>
        <v>500000</v>
      </c>
      <c r="W23" s="203"/>
      <c r="X23" s="203"/>
      <c r="Y23" s="3">
        <f>(W23+X23)*$G$2*$D$1</f>
        <v>0</v>
      </c>
      <c r="Z23" s="203">
        <v>1</v>
      </c>
      <c r="AA23" s="203">
        <v>1</v>
      </c>
      <c r="AB23" s="3">
        <f t="shared" si="19"/>
        <v>58480</v>
      </c>
      <c r="AC23" s="203">
        <v>1</v>
      </c>
      <c r="AD23" s="203">
        <v>1</v>
      </c>
      <c r="AE23" s="3">
        <f t="shared" si="20"/>
        <v>58480</v>
      </c>
      <c r="AF23" s="3">
        <f>(AB23+AE23)/$G$1+U23</f>
        <v>246.78399999999999</v>
      </c>
      <c r="AG23" s="3"/>
      <c r="AI23" s="205">
        <v>0</v>
      </c>
      <c r="AJ23" s="42">
        <f>IF(AK23&gt;0,(U23-D23*2)*(H23+O23)/(G23+I23),0)</f>
        <v>84</v>
      </c>
      <c r="AK23" s="185">
        <f>SUM(O23,H23)</f>
        <v>6</v>
      </c>
      <c r="AL23" s="1"/>
      <c r="AM23" s="1"/>
    </row>
    <row r="24" spans="1:40" x14ac:dyDescent="0.25">
      <c r="A24" s="79" t="s">
        <v>276</v>
      </c>
      <c r="B24" s="360">
        <f t="shared" si="15"/>
        <v>16</v>
      </c>
      <c r="C24" s="308">
        <f t="shared" si="16"/>
        <v>40000</v>
      </c>
      <c r="D24" s="203">
        <v>8</v>
      </c>
      <c r="E24" s="202"/>
      <c r="F24" s="202"/>
      <c r="G24" s="268"/>
      <c r="H24" s="268"/>
      <c r="I24" s="268"/>
      <c r="J24" s="268"/>
      <c r="K24" s="268"/>
      <c r="L24" s="268"/>
      <c r="M24" s="279">
        <f t="shared" si="17"/>
        <v>8</v>
      </c>
      <c r="N24" s="301"/>
      <c r="O24" s="301"/>
      <c r="P24" s="301"/>
      <c r="Q24" s="301"/>
      <c r="R24" s="301"/>
      <c r="S24" s="3">
        <f>D24+(E24*G24)</f>
        <v>8</v>
      </c>
      <c r="T24" s="3">
        <f>D24+(E24*I24)</f>
        <v>8</v>
      </c>
      <c r="U24" s="3">
        <f t="shared" ref="U24:U25" si="22">S24+T24</f>
        <v>16</v>
      </c>
      <c r="V24" s="3">
        <f>U24*$G$1</f>
        <v>40000</v>
      </c>
      <c r="W24" s="203"/>
      <c r="X24" s="203"/>
      <c r="Y24" s="3">
        <f>(W24+X24)*$G$2*$D$1</f>
        <v>0</v>
      </c>
      <c r="Z24" s="203"/>
      <c r="AA24" s="203"/>
      <c r="AB24" s="3">
        <f t="shared" si="19"/>
        <v>0</v>
      </c>
      <c r="AC24" s="203"/>
      <c r="AD24" s="203"/>
      <c r="AE24" s="3">
        <f t="shared" si="20"/>
        <v>0</v>
      </c>
      <c r="AF24" s="3">
        <f>(AB24+AE24)/$G$1+U24</f>
        <v>16</v>
      </c>
      <c r="AG24" s="3"/>
      <c r="AI24" s="205"/>
      <c r="AJ24" s="42"/>
      <c r="AK24" s="185"/>
      <c r="AL24" s="1"/>
      <c r="AM24" s="1"/>
    </row>
    <row r="25" spans="1:40" x14ac:dyDescent="0.25">
      <c r="A25" s="305" t="s">
        <v>277</v>
      </c>
      <c r="B25" s="360">
        <f t="shared" si="15"/>
        <v>28</v>
      </c>
      <c r="C25" s="308">
        <f t="shared" si="16"/>
        <v>70000</v>
      </c>
      <c r="D25" s="203">
        <v>2</v>
      </c>
      <c r="E25" s="202">
        <v>2</v>
      </c>
      <c r="F25" s="202">
        <v>34</v>
      </c>
      <c r="G25" s="268">
        <v>6</v>
      </c>
      <c r="H25" s="268">
        <v>2</v>
      </c>
      <c r="I25" s="268">
        <v>6</v>
      </c>
      <c r="J25" s="268"/>
      <c r="K25" s="268"/>
      <c r="L25" s="268"/>
      <c r="M25" s="279">
        <f t="shared" si="17"/>
        <v>14</v>
      </c>
      <c r="N25" s="301">
        <v>6</v>
      </c>
      <c r="O25" s="301">
        <v>2</v>
      </c>
      <c r="P25" s="301"/>
      <c r="Q25" s="301"/>
      <c r="R25" s="301"/>
      <c r="S25" s="3">
        <f>D25+(E25*G25)</f>
        <v>14</v>
      </c>
      <c r="T25" s="3">
        <f>D25+(E25*I25)</f>
        <v>14</v>
      </c>
      <c r="U25" s="3">
        <f t="shared" si="22"/>
        <v>28</v>
      </c>
      <c r="V25" s="3">
        <f>U25*$G$1</f>
        <v>70000</v>
      </c>
      <c r="W25" s="203"/>
      <c r="X25" s="203"/>
      <c r="Y25" s="3"/>
      <c r="Z25" s="203"/>
      <c r="AA25" s="203"/>
      <c r="AB25" s="3">
        <f t="shared" si="19"/>
        <v>0</v>
      </c>
      <c r="AC25" s="203"/>
      <c r="AD25" s="203"/>
      <c r="AE25" s="3">
        <f t="shared" si="20"/>
        <v>0</v>
      </c>
      <c r="AF25" s="3">
        <f>(AB25+AE25)/$G$1+U25</f>
        <v>28</v>
      </c>
      <c r="AG25" s="3"/>
      <c r="AI25" s="205"/>
      <c r="AJ25" s="42"/>
      <c r="AK25" s="185"/>
      <c r="AL25" s="1"/>
      <c r="AM25" s="1"/>
    </row>
    <row r="26" spans="1:40" x14ac:dyDescent="0.25">
      <c r="A26" s="79"/>
      <c r="B26" s="79"/>
      <c r="C26" s="79"/>
      <c r="D26" s="203"/>
      <c r="E26" s="202"/>
      <c r="F26" s="202"/>
      <c r="G26" s="268"/>
      <c r="H26" s="268"/>
      <c r="I26" s="268"/>
      <c r="J26" s="268"/>
      <c r="K26" s="268"/>
      <c r="L26" s="268"/>
      <c r="M26" s="280"/>
      <c r="N26" s="301"/>
      <c r="O26" s="301"/>
      <c r="P26" s="301"/>
      <c r="Q26" s="301"/>
      <c r="R26" s="301"/>
      <c r="S26" s="3"/>
      <c r="T26" s="3"/>
      <c r="U26" s="3"/>
      <c r="V26" s="3"/>
      <c r="W26" s="203"/>
      <c r="X26" s="203"/>
      <c r="Y26" s="3"/>
      <c r="Z26" s="203"/>
      <c r="AA26" s="203"/>
      <c r="AB26" s="3"/>
      <c r="AC26" s="203"/>
      <c r="AD26" s="203"/>
      <c r="AE26" s="3"/>
      <c r="AF26" s="3"/>
      <c r="AG26" s="3"/>
      <c r="AI26" s="205"/>
      <c r="AJ26" s="42"/>
      <c r="AK26" s="185"/>
      <c r="AL26" s="1"/>
      <c r="AM26" s="1"/>
    </row>
    <row r="27" spans="1:40" x14ac:dyDescent="0.25">
      <c r="A27" s="79"/>
      <c r="B27" s="79"/>
      <c r="C27" s="79"/>
      <c r="D27" s="203"/>
      <c r="E27" s="203"/>
      <c r="F27" s="203"/>
      <c r="G27" s="267"/>
      <c r="H27" s="267"/>
      <c r="I27" s="267"/>
      <c r="J27" s="267"/>
      <c r="K27" s="267"/>
      <c r="L27" s="267"/>
      <c r="M27" s="279"/>
      <c r="N27" s="274"/>
      <c r="O27" s="274"/>
      <c r="P27" s="274"/>
      <c r="Q27" s="274"/>
      <c r="R27" s="274"/>
      <c r="S27" s="3"/>
      <c r="T27" s="3"/>
      <c r="U27" s="3"/>
      <c r="V27" s="3"/>
      <c r="W27" s="203"/>
      <c r="X27" s="203"/>
      <c r="Y27" s="3"/>
      <c r="Z27" s="203"/>
      <c r="AA27" s="203"/>
      <c r="AB27" s="3"/>
      <c r="AC27" s="203"/>
      <c r="AD27" s="203"/>
      <c r="AE27" s="3"/>
      <c r="AF27" s="3"/>
      <c r="AG27" s="3"/>
      <c r="AI27" s="205"/>
      <c r="AJ27" s="42"/>
      <c r="AK27" s="185"/>
      <c r="AL27" s="1"/>
      <c r="AM27" s="1"/>
    </row>
    <row r="28" spans="1:40" x14ac:dyDescent="0.25">
      <c r="A28" s="79"/>
      <c r="B28" s="79"/>
      <c r="C28" s="79"/>
      <c r="D28" s="8"/>
      <c r="E28" s="8"/>
      <c r="F28" s="8"/>
      <c r="G28" s="270"/>
      <c r="H28" s="270"/>
      <c r="I28" s="270"/>
      <c r="J28" s="270"/>
      <c r="K28" s="270"/>
      <c r="L28" s="270"/>
      <c r="M28" s="58"/>
      <c r="N28" s="275"/>
      <c r="O28" s="275"/>
      <c r="P28" s="275"/>
      <c r="Q28" s="275"/>
      <c r="R28" s="275"/>
      <c r="S28" s="1"/>
      <c r="T28" s="1"/>
      <c r="U28" s="1"/>
      <c r="V28" s="3"/>
      <c r="W28" s="203"/>
      <c r="X28" s="203"/>
      <c r="Y28" s="3"/>
      <c r="Z28" s="8"/>
      <c r="AA28" s="8"/>
      <c r="AB28" s="3"/>
      <c r="AC28" s="8"/>
      <c r="AD28" s="8"/>
      <c r="AE28" s="3"/>
      <c r="AF28" s="3"/>
      <c r="AG28" s="3"/>
      <c r="AI28" s="219"/>
      <c r="AJ28" s="42"/>
      <c r="AK28" s="185"/>
      <c r="AL28" s="1"/>
      <c r="AM28" s="1"/>
    </row>
    <row r="29" spans="1:40" ht="45" x14ac:dyDescent="0.25">
      <c r="A29" s="306" t="s">
        <v>4</v>
      </c>
      <c r="B29" s="306">
        <f>SUM(B9:B25)</f>
        <v>1479.7440000000001</v>
      </c>
      <c r="C29" s="309">
        <f>SUM(C9:C25)</f>
        <v>3699360</v>
      </c>
      <c r="D29" s="9">
        <f>SUM(D7:D26)</f>
        <v>118</v>
      </c>
      <c r="E29" s="9">
        <f>SUM(E7:E26)</f>
        <v>90</v>
      </c>
      <c r="F29" s="8"/>
      <c r="G29" s="298"/>
      <c r="H29" s="298"/>
      <c r="I29" s="298"/>
      <c r="J29" s="298">
        <v>2</v>
      </c>
      <c r="K29" s="298">
        <v>5</v>
      </c>
      <c r="L29" s="298">
        <v>2</v>
      </c>
      <c r="M29" s="85">
        <f>SUM(M9:M25)</f>
        <v>668</v>
      </c>
      <c r="N29" s="302"/>
      <c r="O29" s="302"/>
      <c r="P29" s="278">
        <f>SUM(P9:P25)</f>
        <v>0</v>
      </c>
      <c r="Q29" s="278">
        <f>SUM(Q9:Q25)</f>
        <v>5</v>
      </c>
      <c r="R29" s="278">
        <f>SUM(R9:R25)</f>
        <v>2</v>
      </c>
      <c r="S29" s="4">
        <f>SUM(S7:S27)</f>
        <v>668</v>
      </c>
      <c r="T29" s="4">
        <f>SUM(T7:T27)</f>
        <v>648</v>
      </c>
      <c r="U29" s="4">
        <f>SUM(U7:U27)</f>
        <v>1316</v>
      </c>
      <c r="V29" s="4">
        <f>SUM(V7:V27)</f>
        <v>3290000</v>
      </c>
      <c r="W29" s="4">
        <f>SUM(W9:W27)</f>
        <v>0</v>
      </c>
      <c r="X29" s="4">
        <f>SUM(X9:X27)</f>
        <v>0</v>
      </c>
      <c r="Y29" s="85">
        <f>SUM(Y10:Y27)</f>
        <v>0</v>
      </c>
      <c r="Z29" s="9">
        <f>SUM(Z9:Z27)</f>
        <v>5</v>
      </c>
      <c r="AA29" s="9">
        <f>SUM(AA9:AA27)</f>
        <v>5</v>
      </c>
      <c r="AB29" s="85">
        <f>SUM(AB10:AB27)</f>
        <v>292400</v>
      </c>
      <c r="AC29" s="9">
        <f>SUM(AC9:AC27)</f>
        <v>2</v>
      </c>
      <c r="AD29" s="9">
        <f>SUM(AD9:AD27)</f>
        <v>2</v>
      </c>
      <c r="AE29" s="85">
        <f>SUM(AE9:AE27)</f>
        <v>116960</v>
      </c>
      <c r="AF29" s="85">
        <f>SUM(AF9:AF27)</f>
        <v>1479.7440000000001</v>
      </c>
      <c r="AG29" s="4">
        <f>V29+AB29+AE29+Y29</f>
        <v>3699360</v>
      </c>
      <c r="AH29" s="154" t="s">
        <v>220</v>
      </c>
      <c r="AI29" s="14">
        <f>SUM(AI9:AI27)</f>
        <v>0</v>
      </c>
      <c r="AJ29" s="14">
        <f>SUM(AJ9:AJ27)</f>
        <v>260</v>
      </c>
      <c r="AK29" s="1"/>
      <c r="AL29" s="14">
        <f>SUM(AL9:AL27)</f>
        <v>0</v>
      </c>
      <c r="AM29" s="2">
        <f>AM30/5</f>
        <v>240.8</v>
      </c>
    </row>
    <row r="30" spans="1:40" x14ac:dyDescent="0.25">
      <c r="A30" s="79"/>
      <c r="B30" s="79"/>
      <c r="C30" s="7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t="s">
        <v>219</v>
      </c>
      <c r="AI30" s="14">
        <f>SUM(AI9:AI27)*5</f>
        <v>0</v>
      </c>
      <c r="AJ30" s="14">
        <f>SUM(AJ9:AJ27)*5</f>
        <v>1300</v>
      </c>
      <c r="AK30" s="2"/>
      <c r="AL30" s="2">
        <f>SUM(AL9:AL27)*5</f>
        <v>0</v>
      </c>
      <c r="AM30" s="2">
        <f>(AB29+AE29)/G2</f>
        <v>1204</v>
      </c>
    </row>
    <row r="31" spans="1:40" s="7" customFormat="1" ht="15.75" thickBot="1" x14ac:dyDescent="0.3">
      <c r="A31" s="154"/>
      <c r="B31" s="154"/>
      <c r="C31" s="154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1"/>
      <c r="AJ31" s="1"/>
      <c r="AK31" s="1"/>
      <c r="AL31" s="1"/>
      <c r="AM31" s="1"/>
      <c r="AN31" s="143"/>
    </row>
    <row r="32" spans="1:40" ht="16.5" thickBot="1" x14ac:dyDescent="0.3">
      <c r="D32" s="369" t="s">
        <v>319</v>
      </c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1"/>
    </row>
    <row r="37" ht="16.5" customHeight="1" x14ac:dyDescent="0.25"/>
  </sheetData>
  <sheetProtection algorithmName="SHA-512" hashValue="/BuMGmXR9nFjUhxyC8IjbgL8U+lnog7ffXcxRLCpcg44XnUT4xcHlEuLHE6atIDQyKZrjuRZjeIwS+1McIg6tQ==" saltValue="m2F5n67W7Bvyzr4zHVbxZA==" spinCount="100000" sheet="1" selectLockedCells="1"/>
  <customSheetViews>
    <customSheetView guid="{CB7E9FB3-C7A3-44DE-98E4-19C23B487785}" scale="80" fitToPage="1" hiddenColumns="1">
      <pane xSplit="1" topLeftCell="B1" activePane="topRight" state="frozen"/>
      <selection pane="topRight" activeCell="G2" sqref="G2"/>
      <pageMargins left="7.874015748031496E-2" right="7.874015748031496E-2" top="0.78740157480314965" bottom="0.78740157480314965" header="0.31496062992125984" footer="0.31496062992125984"/>
      <pageSetup paperSize="9" scale="28" orientation="landscape" r:id="rId1"/>
      <headerFooter>
        <oddHeader>&amp;C&amp;"-,Fet"&amp;14 3. studieår</oddHeader>
      </headerFooter>
    </customSheetView>
    <customSheetView guid="{0F10E6D6-430E-4539-8602-E1FCB30ABD1B}" scale="80" fitToPage="1" hiddenColumns="1" topLeftCell="A7">
      <pane xSplit="1" topLeftCell="B1" activePane="topRight" state="frozen"/>
      <selection pane="topRight" activeCell="H22" sqref="H22"/>
      <pageMargins left="7.874015748031496E-2" right="7.874015748031496E-2" top="0.78740157480314965" bottom="0.78740157480314965" header="0.31496062992125984" footer="0.31496062992125984"/>
      <pageSetup paperSize="9" scale="28" orientation="landscape" r:id="rId2"/>
      <headerFooter>
        <oddHeader>&amp;C&amp;"-,Fet"&amp;14 3. studieår</oddHeader>
      </headerFooter>
    </customSheetView>
    <customSheetView guid="{6A1E5DF8-D380-4588-9B84-662BAE41D0D9}" scale="80" fitToPage="1" hiddenColumns="1" topLeftCell="A8">
      <pane xSplit="1" topLeftCell="B1" activePane="topRight" state="frozen"/>
      <selection pane="topRight" activeCell="K24" sqref="K24"/>
      <pageMargins left="7.874015748031496E-2" right="7.874015748031496E-2" top="0.78740157480314965" bottom="0.78740157480314965" header="0.31496062992125984" footer="0.31496062992125984"/>
      <pageSetup paperSize="9" scale="28" orientation="landscape" r:id="rId3"/>
      <headerFooter>
        <oddHeader>&amp;C&amp;"-,Fet"&amp;14 3. studieår</oddHeader>
      </headerFooter>
    </customSheetView>
    <customSheetView guid="{C3BF634C-AA16-4BD6-93CF-AD12048346B7}" scale="80" fitToPage="1" hiddenColumns="1">
      <pane xSplit="1" topLeftCell="B1" activePane="topRight" state="frozen"/>
      <selection pane="topRight" activeCell="K22" sqref="K22"/>
      <pageMargins left="7.874015748031496E-2" right="7.874015748031496E-2" top="0.78740157480314965" bottom="0.78740157480314965" header="0.31496062992125984" footer="0.31496062992125984"/>
      <pageSetup paperSize="9" scale="28" orientation="landscape" r:id="rId4"/>
      <headerFooter>
        <oddHeader>&amp;C&amp;"-,Fet"&amp;14 3. studieår</oddHeader>
      </headerFooter>
    </customSheetView>
    <customSheetView guid="{2A2C752C-8C42-4F9A-A40C-FE7F7014F210}" fitToPage="1">
      <pane xSplit="1" topLeftCell="W1" activePane="topRight" state="frozen"/>
      <selection pane="topRight" activeCell="AB6" sqref="AB6"/>
      <pageMargins left="7.874015748031496E-2" right="7.874015748031496E-2" top="0.78740157480314965" bottom="0.78740157480314965" header="0.31496062992125984" footer="0.31496062992125984"/>
      <pageSetup paperSize="9" scale="28" orientation="landscape" r:id="rId5"/>
      <headerFooter>
        <oddHeader>&amp;C&amp;"-,Fet"&amp;14 3. studieår</oddHeader>
      </headerFooter>
    </customSheetView>
    <customSheetView guid="{AC2983A2-F978-40B7-A196-35F34E705157}" fitToPage="1" hiddenColumns="1">
      <pane xSplit="1" topLeftCell="D1" activePane="topRight" state="frozen"/>
      <selection pane="topRight" activeCell="I23" sqref="I23"/>
      <pageMargins left="7.874015748031496E-2" right="7.874015748031496E-2" top="0.78740157480314965" bottom="0.78740157480314965" header="0.31496062992125984" footer="0.31496062992125984"/>
      <pageSetup paperSize="9" scale="28" orientation="landscape" r:id="rId6"/>
      <headerFooter>
        <oddHeader>&amp;C&amp;"-,Fet"&amp;14 3. studieår</oddHeader>
      </headerFooter>
    </customSheetView>
    <customSheetView guid="{749D43A3-052D-442F-AE88-F6CCB83A1282}" scale="90" fitToPage="1" hiddenColumns="1" topLeftCell="A4">
      <pane xSplit="1" topLeftCell="R1" activePane="topRight" state="frozen"/>
      <selection pane="topRight" activeCell="O14" sqref="O14"/>
      <pageMargins left="7.874015748031496E-2" right="7.874015748031496E-2" top="0.78740157480314965" bottom="0.78740157480314965" header="0.31496062992125984" footer="0.31496062992125984"/>
      <pageSetup paperSize="9" scale="28" orientation="landscape" r:id="rId7"/>
      <headerFooter>
        <oddHeader>&amp;C&amp;"-,Fet"&amp;14 3. studieår</oddHeader>
      </headerFooter>
    </customSheetView>
    <customSheetView guid="{F38A39FA-EF57-4062-A2AD-F3BEB88C5762}" fitToPage="1" hiddenColumns="1">
      <selection activeCell="E20" sqref="E20"/>
      <pageMargins left="7.874015748031496E-2" right="7.874015748031496E-2" top="0.78740157480314965" bottom="0.78740157480314965" header="0.31496062992125984" footer="0.31496062992125984"/>
      <pageSetup paperSize="9" scale="84" orientation="landscape" r:id="rId8"/>
      <headerFooter>
        <oddHeader>&amp;C&amp;"-,Fet"&amp;14 3. studieår</oddHeader>
      </headerFooter>
    </customSheetView>
    <customSheetView guid="{83C69039-3E29-46E1-85FB-B9165E0BFA91}" fitToPage="1" hiddenColumns="1" topLeftCell="L4">
      <selection activeCell="L15" sqref="A15:XFD15"/>
      <pageMargins left="7.874015748031496E-2" right="7.874015748031496E-2" top="0.78740157480314965" bottom="0.78740157480314965" header="0.31496062992125984" footer="0.31496062992125984"/>
      <pageSetup paperSize="9" scale="46" orientation="landscape" r:id="rId9"/>
      <headerFooter>
        <oddHeader>&amp;C&amp;"-,Fet"&amp;14 3. studieår</oddHeader>
      </headerFooter>
    </customSheetView>
    <customSheetView guid="{C1FECEF4-D739-4F39-9B89-CF4C04A77A9B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10"/>
      <headerFooter>
        <oddHeader>&amp;C&amp;"-,Fet"&amp;14 3. studieår</oddHeader>
      </headerFooter>
    </customSheetView>
    <customSheetView guid="{91227156-ECBD-48FD-8964-78F3608400FC}" fitToPage="1" hiddenRows="1" hiddenColumns="1">
      <selection activeCell="G18" sqref="G18"/>
      <pageMargins left="7.874015748031496E-2" right="7.874015748031496E-2" top="0.78740157480314965" bottom="0.78740157480314965" header="0.31496062992125984" footer="0.31496062992125984"/>
      <pageSetup paperSize="9" scale="84" orientation="landscape" r:id="rId11"/>
      <headerFooter>
        <oddHeader>&amp;C&amp;"-,Fet"&amp;14 3. studieår</oddHeader>
      </headerFooter>
    </customSheetView>
    <customSheetView guid="{B76C0EA9-E79B-4DA2-9ADE-66DB47109F8F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12"/>
      <headerFooter>
        <oddHeader>&amp;C&amp;"-,Fet"&amp;14 3. studieår</oddHeader>
      </headerFooter>
    </customSheetView>
    <customSheetView guid="{726FF687-50E0-4F8A-BCCB-6DA9E6D367D4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13"/>
      <headerFooter>
        <oddHeader>&amp;C&amp;"-,Fet"&amp;14 3. studieår</oddHeader>
      </headerFooter>
    </customSheetView>
    <customSheetView guid="{BB9ED292-532F-438C-A4A6-F8D66D70E0E7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14"/>
      <headerFooter>
        <oddHeader>&amp;C&amp;"-,Fet"&amp;14 3. studieår</oddHeader>
      </headerFooter>
    </customSheetView>
    <customSheetView guid="{7AE955BB-7BF8-4CA4-ABF1-6A0BB53A48AD}" fitToPage="1" hiddenRows="1" hiddenColumns="1" topLeftCell="A3">
      <pane xSplit="1" topLeftCell="B1" activePane="topRight" state="frozen"/>
      <selection pane="topRight" activeCell="A3" sqref="A1:A1048576"/>
      <pageMargins left="7.874015748031496E-2" right="7.874015748031496E-2" top="0.78740157480314965" bottom="0.78740157480314965" header="0.31496062992125984" footer="0.31496062992125984"/>
      <pageSetup paperSize="9" scale="84" orientation="landscape" r:id="rId15"/>
      <headerFooter>
        <oddHeader>&amp;C&amp;"-,Fet"&amp;14 3. studieår</oddHeader>
      </headerFooter>
    </customSheetView>
    <customSheetView guid="{43EFFC0A-CCC0-43DD-A273-4AF58757EC00}" fitToPage="1" hiddenColumns="1">
      <selection activeCell="K25" sqref="K25"/>
      <pageMargins left="7.874015748031496E-2" right="7.874015748031496E-2" top="0.78740157480314965" bottom="0.78740157480314965" header="0.31496062992125984" footer="0.31496062992125984"/>
      <pageSetup paperSize="9" scale="84" orientation="landscape" r:id="rId16"/>
      <headerFooter>
        <oddHeader>&amp;C&amp;"-,Fet"&amp;14 3. studieår</oddHeader>
      </headerFooter>
    </customSheetView>
    <customSheetView guid="{E5349645-7714-4437-B9BC-26ED822E5BC5}" scale="90" fitToPage="1" hiddenColumns="1">
      <pane xSplit="1" topLeftCell="E1" activePane="topRight" state="frozen"/>
      <selection pane="topRight" activeCell="AE17" sqref="AE17"/>
      <pageMargins left="7.874015748031496E-2" right="7.874015748031496E-2" top="0.78740157480314965" bottom="0.78740157480314965" header="0.31496062992125984" footer="0.31496062992125984"/>
      <pageSetup paperSize="9" scale="28" orientation="landscape" r:id="rId17"/>
      <headerFooter>
        <oddHeader>&amp;C&amp;"-,Fet"&amp;14 3. studieår</oddHeader>
      </headerFooter>
    </customSheetView>
    <customSheetView guid="{46AB9545-8BEE-4A2F-B820-9F80AC24A11B}" scale="90" fitToPage="1" hiddenColumns="1">
      <pane xSplit="1" topLeftCell="D1" activePane="topRight" state="frozen"/>
      <selection pane="topRight" activeCell="K23" sqref="K23"/>
      <pageMargins left="7.874015748031496E-2" right="7.874015748031496E-2" top="0.78740157480314965" bottom="0.78740157480314965" header="0.31496062992125984" footer="0.31496062992125984"/>
      <pageSetup paperSize="9" scale="28" orientation="landscape" r:id="rId18"/>
      <headerFooter>
        <oddHeader>&amp;C&amp;"-,Fet"&amp;14 3. studieår</oddHeader>
      </headerFooter>
    </customSheetView>
    <customSheetView guid="{F727610F-D041-4412-A81F-AFD013C44971}" fitToPage="1" hiddenColumns="1">
      <pane xSplit="1" topLeftCell="B1" activePane="topRight" state="frozen"/>
      <selection pane="topRight" activeCell="E18" sqref="E18"/>
      <pageMargins left="7.874015748031496E-2" right="7.874015748031496E-2" top="0.78740157480314965" bottom="0.78740157480314965" header="0.31496062992125984" footer="0.31496062992125984"/>
      <pageSetup paperSize="9" scale="28" orientation="landscape" r:id="rId19"/>
      <headerFooter>
        <oddHeader>&amp;C&amp;"-,Fet"&amp;14 3. studieår</oddHeader>
      </headerFooter>
    </customSheetView>
    <customSheetView guid="{F170D8DF-3539-4353-BD8B-1F5EB452DAE5}" fitToPage="1" hiddenColumns="1" topLeftCell="A7">
      <pane xSplit="1" topLeftCell="S1" activePane="topRight" state="frozen"/>
      <selection pane="topRight" activeCell="E18" sqref="E18"/>
      <pageMargins left="7.874015748031496E-2" right="7.874015748031496E-2" top="0.78740157480314965" bottom="0.78740157480314965" header="0.31496062992125984" footer="0.31496062992125984"/>
      <pageSetup paperSize="9" scale="28" orientation="landscape" r:id="rId20"/>
      <headerFooter>
        <oddHeader>&amp;C&amp;"-,Fet"&amp;14 3. studieår</oddHeader>
      </headerFooter>
    </customSheetView>
    <customSheetView guid="{1283C6B5-B05C-447B-8854-CDB081C03FD4}" scale="80" fitToPage="1" hiddenColumns="1" topLeftCell="A7">
      <pane xSplit="1" topLeftCell="B1" activePane="topRight" state="frozen"/>
      <selection pane="topRight" activeCell="K12" sqref="K12"/>
      <pageMargins left="7.874015748031496E-2" right="7.874015748031496E-2" top="0.78740157480314965" bottom="0.78740157480314965" header="0.31496062992125984" footer="0.31496062992125984"/>
      <pageSetup paperSize="9" scale="28" orientation="landscape" r:id="rId21"/>
      <headerFooter>
        <oddHeader>&amp;C&amp;"-,Fet"&amp;14 3. studieår</oddHeader>
      </headerFooter>
    </customSheetView>
    <customSheetView guid="{37BC2192-ABF8-4439-93C4-8E65E7EF90F5}" fitToPage="1" hiddenColumns="1">
      <pane xSplit="1" topLeftCell="D1" activePane="topRight" state="frozen"/>
      <selection pane="topRight" activeCell="I15" sqref="I15"/>
      <pageMargins left="7.874015748031496E-2" right="7.874015748031496E-2" top="0.78740157480314965" bottom="0.78740157480314965" header="0.31496062992125984" footer="0.31496062992125984"/>
      <pageSetup paperSize="9" scale="28" orientation="landscape" r:id="rId22"/>
      <headerFooter>
        <oddHeader>&amp;C&amp;"-,Fet"&amp;14 3. studieår</oddHeader>
      </headerFooter>
    </customSheetView>
    <customSheetView guid="{7084DC93-B2BE-4098-87E1-DAC5FBCE0E0A}" scale="87" fitToPage="1" hiddenColumns="1" topLeftCell="A6">
      <pane xSplit="1" topLeftCell="B1" activePane="topRight" state="frozen"/>
      <selection pane="topRight" activeCell="K11" sqref="K11"/>
      <pageMargins left="7.874015748031496E-2" right="7.874015748031496E-2" top="0.78740157480314965" bottom="0.78740157480314965" header="0.31496062992125984" footer="0.31496062992125984"/>
      <pageSetup paperSize="9" scale="28" orientation="landscape" r:id="rId23"/>
      <headerFooter>
        <oddHeader>&amp;C&amp;"-,Fet"&amp;14 3. studieår</oddHeader>
      </headerFooter>
    </customSheetView>
    <customSheetView guid="{0E885D9C-CD7C-4655-8709-41793617E0A7}" scale="80" fitToPage="1" hiddenColumns="1">
      <pane xSplit="1" topLeftCell="B1" activePane="topRight" state="frozen"/>
      <selection pane="topRight" activeCell="K22" sqref="K22"/>
      <pageMargins left="7.874015748031496E-2" right="7.874015748031496E-2" top="0.78740157480314965" bottom="0.78740157480314965" header="0.31496062992125984" footer="0.31496062992125984"/>
      <pageSetup paperSize="9" scale="28" orientation="landscape" r:id="rId24"/>
      <headerFooter>
        <oddHeader>&amp;C&amp;"-,Fet"&amp;14 3. studieår</oddHeader>
      </headerFooter>
    </customSheetView>
    <customSheetView guid="{B711C9DF-E741-4A27-9293-4E9F012F3AC0}" scale="80" fitToPage="1" hiddenColumns="1">
      <pane xSplit="1" topLeftCell="B1" activePane="topRight" state="frozen"/>
      <selection pane="topRight" activeCell="K22" sqref="K22"/>
      <pageMargins left="7.874015748031496E-2" right="7.874015748031496E-2" top="0.78740157480314965" bottom="0.78740157480314965" header="0.31496062992125984" footer="0.31496062992125984"/>
      <pageSetup paperSize="9" scale="28" orientation="landscape" r:id="rId25"/>
      <headerFooter>
        <oddHeader>&amp;C&amp;"-,Fet"&amp;14 3. studieår</oddHeader>
      </headerFooter>
    </customSheetView>
    <customSheetView guid="{1241DC17-BD41-46C5-9DB1-684763A09F24}" scale="80" fitToPage="1" hiddenColumns="1" topLeftCell="A7">
      <pane xSplit="1" topLeftCell="B1" activePane="topRight" state="frozen"/>
      <selection pane="topRight" activeCell="H22" sqref="H22"/>
      <pageMargins left="7.874015748031496E-2" right="7.874015748031496E-2" top="0.78740157480314965" bottom="0.78740157480314965" header="0.31496062992125984" footer="0.31496062992125984"/>
      <pageSetup paperSize="9" scale="28" orientation="landscape" r:id="rId26"/>
      <headerFooter>
        <oddHeader>&amp;C&amp;"-,Fet"&amp;14 3. studieår</oddHeader>
      </headerFooter>
    </customSheetView>
  </customSheetViews>
  <mergeCells count="3">
    <mergeCell ref="AI5:AM5"/>
    <mergeCell ref="AI1:AM1"/>
    <mergeCell ref="D32:AA32"/>
  </mergeCells>
  <pageMargins left="7.874015748031496E-2" right="7.874015748031496E-2" top="0.78740157480314965" bottom="0.78740157480314965" header="0.31496062992125984" footer="0.31496062992125984"/>
  <pageSetup paperSize="9" scale="28" orientation="landscape" r:id="rId27"/>
  <headerFooter>
    <oddHeader>&amp;C&amp;"-,Fet"&amp;14 3. studieår</oddHeader>
  </headerFooter>
  <legacyDrawing r:id="rId28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T40"/>
  <sheetViews>
    <sheetView zoomScale="80" zoomScaleNormal="80" workbookViewId="0">
      <pane xSplit="1" topLeftCell="B1" activePane="topRight" state="frozen"/>
      <selection activeCell="A7" sqref="A7"/>
      <selection pane="topRight" activeCell="G2" sqref="G2"/>
    </sheetView>
  </sheetViews>
  <sheetFormatPr baseColWidth="10" defaultColWidth="11.42578125" defaultRowHeight="15" x14ac:dyDescent="0.25"/>
  <cols>
    <col min="1" max="1" width="34.85546875" customWidth="1"/>
    <col min="2" max="2" width="18.42578125" customWidth="1"/>
    <col min="3" max="3" width="19.5703125" customWidth="1"/>
    <col min="4" max="4" width="13.5703125" customWidth="1"/>
    <col min="5" max="5" width="10.42578125" customWidth="1"/>
    <col min="6" max="6" width="13.140625" customWidth="1"/>
    <col min="7" max="7" width="8.42578125" customWidth="1"/>
    <col min="8" max="8" width="9.5703125" customWidth="1"/>
    <col min="9" max="9" width="10.5703125" customWidth="1"/>
    <col min="10" max="10" width="15" customWidth="1"/>
    <col min="11" max="11" width="11.5703125" customWidth="1"/>
    <col min="12" max="12" width="9.5703125" customWidth="1"/>
    <col min="13" max="15" width="11.140625" customWidth="1"/>
    <col min="16" max="16" width="8.42578125" hidden="1" customWidth="1"/>
    <col min="17" max="17" width="11.85546875" hidden="1" customWidth="1"/>
    <col min="18" max="18" width="11.42578125" hidden="1" customWidth="1"/>
    <col min="19" max="19" width="15.140625" hidden="1" customWidth="1"/>
    <col min="20" max="21" width="15.140625" customWidth="1"/>
    <col min="22" max="22" width="14.42578125" customWidth="1"/>
    <col min="23" max="23" width="13.85546875" style="7" customWidth="1"/>
    <col min="24" max="24" width="14.5703125" style="5" customWidth="1"/>
    <col min="25" max="26" width="14.5703125" style="5" hidden="1" customWidth="1"/>
    <col min="27" max="28" width="14.5703125" style="5" customWidth="1"/>
    <col min="29" max="31" width="14.5703125" style="5" hidden="1" customWidth="1"/>
    <col min="32" max="33" width="13.140625" hidden="1" customWidth="1"/>
    <col min="34" max="34" width="13.140625" customWidth="1"/>
    <col min="35" max="35" width="14.5703125" hidden="1" customWidth="1"/>
    <col min="36" max="36" width="15.5703125" hidden="1" customWidth="1"/>
    <col min="37" max="37" width="14.42578125" hidden="1" customWidth="1"/>
    <col min="38" max="38" width="13.140625" hidden="1" customWidth="1"/>
    <col min="39" max="39" width="14.42578125" hidden="1" customWidth="1"/>
    <col min="40" max="40" width="17.42578125" customWidth="1"/>
    <col min="41" max="41" width="11.140625" bestFit="1" customWidth="1"/>
    <col min="42" max="42" width="10" bestFit="1" customWidth="1"/>
    <col min="43" max="45" width="9.140625" customWidth="1"/>
    <col min="46" max="46" width="10" bestFit="1" customWidth="1"/>
    <col min="47" max="47" width="18" customWidth="1"/>
    <col min="48" max="48" width="24.5703125" customWidth="1"/>
    <col min="49" max="49" width="9.42578125" customWidth="1"/>
    <col min="50" max="50" width="15.5703125" customWidth="1"/>
    <col min="51" max="51" width="14.42578125" customWidth="1"/>
    <col min="52" max="270" width="9.140625" customWidth="1"/>
  </cols>
  <sheetData>
    <row r="1" spans="1:46" ht="30" x14ac:dyDescent="0.25">
      <c r="A1" s="140" t="s">
        <v>3</v>
      </c>
      <c r="B1" s="141"/>
      <c r="C1" s="141"/>
      <c r="D1" s="234">
        <v>275</v>
      </c>
      <c r="E1" s="143"/>
      <c r="F1" s="240" t="s">
        <v>5</v>
      </c>
      <c r="G1" s="210">
        <v>2500</v>
      </c>
      <c r="H1" s="186"/>
      <c r="I1" s="186"/>
      <c r="J1" s="186"/>
      <c r="K1" s="186"/>
      <c r="L1" s="186"/>
      <c r="W1" s="145">
        <v>20</v>
      </c>
    </row>
    <row r="2" spans="1:46" ht="43.5" customHeight="1" x14ac:dyDescent="0.25">
      <c r="A2" s="140" t="s">
        <v>256</v>
      </c>
      <c r="B2" s="141"/>
      <c r="C2" s="141"/>
      <c r="D2" s="234">
        <v>100</v>
      </c>
      <c r="E2" s="143"/>
      <c r="F2" s="258" t="s">
        <v>291</v>
      </c>
      <c r="G2" s="238">
        <f>G1/5*1.5</f>
        <v>750</v>
      </c>
      <c r="H2" s="186"/>
      <c r="I2" s="186"/>
      <c r="J2" s="186"/>
      <c r="K2" s="186"/>
      <c r="L2" s="186"/>
      <c r="W2" s="145"/>
    </row>
    <row r="3" spans="1:46" ht="30" x14ac:dyDescent="0.25">
      <c r="A3" s="144"/>
      <c r="B3" s="144"/>
      <c r="C3" s="144"/>
      <c r="D3" s="331"/>
      <c r="E3" s="143"/>
      <c r="F3" s="241" t="s">
        <v>6</v>
      </c>
      <c r="G3" s="211">
        <v>340</v>
      </c>
      <c r="H3" s="187"/>
      <c r="I3" s="187"/>
      <c r="J3" s="187"/>
      <c r="K3" s="187"/>
      <c r="L3" s="187"/>
      <c r="AO3" s="380" t="s">
        <v>38</v>
      </c>
      <c r="AP3" s="381"/>
      <c r="AQ3" s="381"/>
      <c r="AR3" s="381"/>
      <c r="AS3" s="381"/>
      <c r="AT3" s="381"/>
    </row>
    <row r="4" spans="1:46" ht="18.75" x14ac:dyDescent="0.3">
      <c r="A4" s="329" t="s">
        <v>41</v>
      </c>
      <c r="B4" s="335"/>
      <c r="C4" s="335"/>
      <c r="D4" s="7"/>
      <c r="E4" s="143"/>
      <c r="F4" s="144"/>
      <c r="AO4" s="67" t="s">
        <v>48</v>
      </c>
      <c r="AP4" s="64" t="s">
        <v>44</v>
      </c>
      <c r="AQ4" s="64"/>
      <c r="AR4" s="64" t="s">
        <v>45</v>
      </c>
      <c r="AS4" s="64"/>
      <c r="AT4" s="64" t="s">
        <v>46</v>
      </c>
    </row>
    <row r="5" spans="1:46" ht="18.75" x14ac:dyDescent="0.3">
      <c r="A5" s="330">
        <v>20</v>
      </c>
      <c r="B5" s="335"/>
      <c r="C5" s="335"/>
      <c r="D5" s="389" t="s">
        <v>42</v>
      </c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90"/>
      <c r="Y5" s="236"/>
      <c r="Z5" s="236"/>
      <c r="AA5" s="236"/>
      <c r="AB5" s="236"/>
      <c r="AC5" s="237"/>
      <c r="AD5" s="237"/>
      <c r="AE5" s="237"/>
      <c r="AO5" s="72">
        <v>0.1</v>
      </c>
      <c r="AP5" s="65"/>
      <c r="AQ5" s="65"/>
      <c r="AR5" s="65"/>
      <c r="AS5" s="65"/>
      <c r="AT5" s="65">
        <v>1</v>
      </c>
    </row>
    <row r="6" spans="1:46" ht="12.75" customHeight="1" thickBot="1" x14ac:dyDescent="0.3">
      <c r="D6" s="69"/>
      <c r="E6" s="70"/>
      <c r="F6" s="70"/>
      <c r="G6" s="70"/>
      <c r="H6" s="184"/>
      <c r="I6" s="257"/>
      <c r="J6" s="261"/>
      <c r="K6" s="261"/>
      <c r="L6" s="261"/>
      <c r="M6" s="70"/>
      <c r="N6" s="184"/>
      <c r="O6" s="257"/>
      <c r="P6" s="70"/>
      <c r="Q6" s="70"/>
      <c r="R6" s="70"/>
      <c r="S6" s="70"/>
      <c r="T6" s="261"/>
      <c r="U6" s="261"/>
      <c r="V6" s="70"/>
      <c r="W6" s="70"/>
      <c r="X6" s="70"/>
      <c r="Y6" s="236"/>
      <c r="Z6" s="236"/>
      <c r="AA6" s="236"/>
      <c r="AB6" s="236"/>
      <c r="AC6" s="237"/>
      <c r="AD6" s="237"/>
      <c r="AE6" s="237"/>
      <c r="AO6" s="391" t="s">
        <v>265</v>
      </c>
      <c r="AP6" s="392"/>
      <c r="AQ6" s="392"/>
      <c r="AR6" s="392"/>
      <c r="AS6" s="392"/>
      <c r="AT6" s="392"/>
    </row>
    <row r="7" spans="1:46" s="25" customFormat="1" ht="76.5" customHeight="1" x14ac:dyDescent="0.25">
      <c r="A7" s="48" t="s">
        <v>307</v>
      </c>
      <c r="B7" s="54" t="s">
        <v>108</v>
      </c>
      <c r="C7" s="54" t="s">
        <v>318</v>
      </c>
      <c r="D7" s="49" t="s">
        <v>354</v>
      </c>
      <c r="E7" s="49" t="s">
        <v>332</v>
      </c>
      <c r="F7" s="49" t="s">
        <v>2</v>
      </c>
      <c r="G7" s="265" t="s">
        <v>49</v>
      </c>
      <c r="H7" s="265" t="s">
        <v>205</v>
      </c>
      <c r="I7" s="265" t="s">
        <v>289</v>
      </c>
      <c r="J7" s="265" t="s">
        <v>248</v>
      </c>
      <c r="K7" s="265" t="s">
        <v>150</v>
      </c>
      <c r="L7" s="50" t="s">
        <v>355</v>
      </c>
      <c r="M7" s="271" t="s">
        <v>203</v>
      </c>
      <c r="N7" s="271" t="s">
        <v>204</v>
      </c>
      <c r="O7" s="271" t="s">
        <v>290</v>
      </c>
      <c r="P7" s="271" t="s">
        <v>50</v>
      </c>
      <c r="Q7" s="271" t="s">
        <v>51</v>
      </c>
      <c r="R7" s="271" t="s">
        <v>140</v>
      </c>
      <c r="S7" s="271" t="s">
        <v>355</v>
      </c>
      <c r="T7" s="271" t="s">
        <v>249</v>
      </c>
      <c r="U7" s="271" t="s">
        <v>151</v>
      </c>
      <c r="V7" s="50" t="s">
        <v>356</v>
      </c>
      <c r="W7" s="50" t="s">
        <v>357</v>
      </c>
      <c r="X7" s="50" t="s">
        <v>343</v>
      </c>
      <c r="Y7" s="49" t="s">
        <v>248</v>
      </c>
      <c r="Z7" s="49" t="s">
        <v>249</v>
      </c>
      <c r="AA7" s="312" t="s">
        <v>250</v>
      </c>
      <c r="AB7" s="312" t="s">
        <v>251</v>
      </c>
      <c r="AC7" s="312" t="s">
        <v>261</v>
      </c>
      <c r="AD7" s="312" t="s">
        <v>262</v>
      </c>
      <c r="AE7" s="312" t="s">
        <v>263</v>
      </c>
      <c r="AF7" s="312" t="s">
        <v>150</v>
      </c>
      <c r="AG7" s="312" t="s">
        <v>151</v>
      </c>
      <c r="AH7" s="312" t="s">
        <v>58</v>
      </c>
      <c r="AI7" s="49" t="s">
        <v>120</v>
      </c>
      <c r="AJ7" s="49" t="s">
        <v>121</v>
      </c>
      <c r="AK7" s="54" t="s">
        <v>55</v>
      </c>
      <c r="AL7" s="54" t="s">
        <v>141</v>
      </c>
      <c r="AM7" s="54" t="s">
        <v>142</v>
      </c>
      <c r="AN7" s="93"/>
      <c r="AO7" s="244">
        <v>102562401</v>
      </c>
      <c r="AP7" s="250">
        <v>102562402</v>
      </c>
      <c r="AQ7" s="250"/>
      <c r="AR7" s="393"/>
      <c r="AS7" s="394"/>
      <c r="AT7" s="244">
        <v>102562404</v>
      </c>
    </row>
    <row r="8" spans="1:46" s="25" customFormat="1" ht="75" x14ac:dyDescent="0.25">
      <c r="A8" s="11" t="s">
        <v>18</v>
      </c>
      <c r="B8" s="332"/>
      <c r="C8" s="288"/>
      <c r="D8" s="8"/>
      <c r="E8" s="8"/>
      <c r="F8" s="8"/>
      <c r="G8" s="266"/>
      <c r="H8" s="266"/>
      <c r="I8" s="266"/>
      <c r="J8" s="266"/>
      <c r="K8" s="266"/>
      <c r="L8" s="185"/>
      <c r="M8" s="273"/>
      <c r="N8" s="273"/>
      <c r="O8" s="273"/>
      <c r="P8" s="273"/>
      <c r="Q8" s="273"/>
      <c r="R8" s="273"/>
      <c r="S8" s="273"/>
      <c r="T8" s="273"/>
      <c r="U8" s="273"/>
      <c r="V8" s="185"/>
      <c r="W8" s="85"/>
      <c r="X8" s="19"/>
      <c r="Y8" s="205"/>
      <c r="Z8" s="205"/>
      <c r="AA8" s="19"/>
      <c r="AB8" s="19"/>
      <c r="AC8" s="205"/>
      <c r="AD8" s="205"/>
      <c r="AE8" s="19"/>
      <c r="AF8" s="81"/>
      <c r="AG8" s="81"/>
      <c r="AH8" s="1"/>
      <c r="AI8" s="81"/>
      <c r="AJ8" s="81"/>
      <c r="AK8" s="1"/>
      <c r="AL8" s="1"/>
      <c r="AM8" s="1"/>
      <c r="AN8" s="75"/>
      <c r="AO8" s="242" t="s">
        <v>207</v>
      </c>
      <c r="AP8" s="82" t="s">
        <v>63</v>
      </c>
      <c r="AQ8" s="86" t="s">
        <v>56</v>
      </c>
      <c r="AR8" s="82" t="s">
        <v>63</v>
      </c>
      <c r="AS8" s="86" t="s">
        <v>64</v>
      </c>
      <c r="AT8" s="82" t="s">
        <v>63</v>
      </c>
    </row>
    <row r="9" spans="1:46" x14ac:dyDescent="0.25">
      <c r="A9" s="11" t="s">
        <v>344</v>
      </c>
      <c r="B9" s="332"/>
      <c r="C9" s="288"/>
      <c r="D9" s="203"/>
      <c r="E9" s="203"/>
      <c r="F9" s="203"/>
      <c r="G9" s="267"/>
      <c r="H9" s="267"/>
      <c r="I9" s="267"/>
      <c r="J9" s="267"/>
      <c r="K9" s="267"/>
      <c r="L9" s="279"/>
      <c r="M9" s="274"/>
      <c r="N9" s="274"/>
      <c r="O9" s="274"/>
      <c r="P9" s="274"/>
      <c r="Q9" s="274"/>
      <c r="R9" s="273"/>
      <c r="S9" s="273"/>
      <c r="T9" s="273"/>
      <c r="U9" s="273"/>
      <c r="V9" s="185"/>
      <c r="W9" s="85">
        <f>SUM(W11:W16)</f>
        <v>692</v>
      </c>
      <c r="X9" s="19"/>
      <c r="Y9" s="205"/>
      <c r="Z9" s="205"/>
      <c r="AA9" s="19"/>
      <c r="AB9" s="19"/>
      <c r="AC9" s="205"/>
      <c r="AD9" s="205">
        <v>0</v>
      </c>
      <c r="AE9" s="3">
        <f>(AC9+AD9)*$G$3*1.5*D2</f>
        <v>0</v>
      </c>
      <c r="AF9" s="205"/>
      <c r="AG9" s="205"/>
      <c r="AH9" s="3"/>
      <c r="AI9" s="205"/>
      <c r="AJ9" s="205"/>
      <c r="AK9" s="3"/>
      <c r="AL9" s="3"/>
      <c r="AM9" s="3"/>
      <c r="AN9" s="66"/>
      <c r="AO9" s="86"/>
      <c r="AP9" s="1"/>
      <c r="AQ9" s="58"/>
      <c r="AR9" s="1"/>
      <c r="AS9" s="42"/>
      <c r="AT9" s="185"/>
    </row>
    <row r="10" spans="1:46" x14ac:dyDescent="0.25">
      <c r="A10" s="11" t="s">
        <v>192</v>
      </c>
      <c r="B10" s="332"/>
      <c r="C10" s="288"/>
      <c r="D10" s="202">
        <v>1</v>
      </c>
      <c r="E10" s="202"/>
      <c r="F10" s="202"/>
      <c r="G10" s="268"/>
      <c r="H10" s="268"/>
      <c r="I10" s="268"/>
      <c r="J10" s="268"/>
      <c r="K10" s="268"/>
      <c r="L10" s="280"/>
      <c r="M10" s="301"/>
      <c r="N10" s="301"/>
      <c r="O10" s="301"/>
      <c r="P10" s="301"/>
      <c r="Q10" s="274"/>
      <c r="R10" s="273"/>
      <c r="S10" s="273"/>
      <c r="T10" s="273"/>
      <c r="U10" s="273"/>
      <c r="V10" s="185"/>
      <c r="W10" s="85"/>
      <c r="X10" s="19"/>
      <c r="Y10" s="205"/>
      <c r="Z10" s="205"/>
      <c r="AA10" s="19"/>
      <c r="AB10" s="19"/>
      <c r="AC10" s="205"/>
      <c r="AD10" s="205"/>
      <c r="AE10" s="19"/>
      <c r="AF10" s="205"/>
      <c r="AG10" s="205"/>
      <c r="AH10" s="3"/>
      <c r="AI10" s="205"/>
      <c r="AJ10" s="205"/>
      <c r="AK10" s="3"/>
      <c r="AL10" s="3"/>
      <c r="AM10" s="3"/>
      <c r="AN10" s="71"/>
      <c r="AO10" s="212"/>
      <c r="AP10" s="1"/>
      <c r="AQ10" s="185"/>
      <c r="AR10" s="1"/>
      <c r="AS10" s="205"/>
      <c r="AT10" s="58"/>
    </row>
    <row r="11" spans="1:46" x14ac:dyDescent="0.25">
      <c r="A11" s="10" t="s">
        <v>345</v>
      </c>
      <c r="B11" s="333">
        <f>W11+AH11/$G$1+AK11/$G$1+AA11/$G$1</f>
        <v>261.92</v>
      </c>
      <c r="C11" s="20">
        <f>X11+AA11+AH11</f>
        <v>654800</v>
      </c>
      <c r="D11" s="202">
        <v>20</v>
      </c>
      <c r="E11" s="202">
        <v>16</v>
      </c>
      <c r="F11" s="202">
        <v>30</v>
      </c>
      <c r="G11" s="268">
        <v>6</v>
      </c>
      <c r="H11" s="268">
        <v>3</v>
      </c>
      <c r="I11" s="268"/>
      <c r="J11" s="268">
        <v>1</v>
      </c>
      <c r="K11" s="268">
        <v>0</v>
      </c>
      <c r="L11" s="280">
        <f>D11+(E11*G11)</f>
        <v>116</v>
      </c>
      <c r="M11" s="301">
        <v>6</v>
      </c>
      <c r="N11" s="301">
        <v>2</v>
      </c>
      <c r="O11" s="301"/>
      <c r="P11" s="301"/>
      <c r="Q11" s="274" t="e">
        <f>+IF(#REF!&gt;0,$D$1/#REF!,0)</f>
        <v>#REF!</v>
      </c>
      <c r="R11" s="273"/>
      <c r="S11" s="273">
        <f>D11+(E11*G11)</f>
        <v>116</v>
      </c>
      <c r="T11" s="273">
        <v>1</v>
      </c>
      <c r="U11" s="273">
        <v>0</v>
      </c>
      <c r="V11" s="185">
        <f>D11+(E11*M11)</f>
        <v>116</v>
      </c>
      <c r="W11" s="85">
        <f>S11+V11</f>
        <v>232</v>
      </c>
      <c r="X11" s="19">
        <f>W11*$G$1</f>
        <v>580000</v>
      </c>
      <c r="Y11" s="205">
        <v>1</v>
      </c>
      <c r="Z11" s="205">
        <v>1</v>
      </c>
      <c r="AA11" s="3">
        <f>(Y11+Z11)*$G$3*$D$1*0.4</f>
        <v>74800</v>
      </c>
      <c r="AB11" s="3">
        <f>AA11*0.4</f>
        <v>29920</v>
      </c>
      <c r="AC11" s="205"/>
      <c r="AD11" s="205"/>
      <c r="AE11" s="3"/>
      <c r="AF11" s="205">
        <v>0</v>
      </c>
      <c r="AG11" s="205">
        <v>0</v>
      </c>
      <c r="AH11" s="3">
        <f>(AF11+AG11)*$G$3*$D$1*0.4</f>
        <v>0</v>
      </c>
      <c r="AI11" s="205"/>
      <c r="AJ11" s="205"/>
      <c r="AK11" s="3">
        <f t="shared" ref="AK11:AK15" si="0">(AI11+AJ11)*$G$3*$D$1*0.25</f>
        <v>0</v>
      </c>
      <c r="AL11" s="3">
        <f>W11+AH11/$G$1+AK11/$G$1+AA11/$G$1</f>
        <v>261.92</v>
      </c>
      <c r="AM11" s="3"/>
      <c r="AN11" s="71"/>
      <c r="AO11" s="212"/>
      <c r="AP11" s="1">
        <f>IF(AQ11&gt;0,(W11-D11*2)*(H11+N11)/(G11+M11),0)</f>
        <v>80</v>
      </c>
      <c r="AQ11" s="185">
        <f>N11+H11</f>
        <v>5</v>
      </c>
      <c r="AR11" s="1"/>
      <c r="AS11" s="205"/>
      <c r="AT11" s="185">
        <f>SUM(P11,H11)</f>
        <v>3</v>
      </c>
    </row>
    <row r="12" spans="1:46" x14ac:dyDescent="0.25">
      <c r="A12" s="10" t="s">
        <v>346</v>
      </c>
      <c r="B12" s="333">
        <f t="shared" ref="B12:B15" si="1">W12+AH12/$G$1+AK12/$G$1+AA12/$G$1</f>
        <v>257.92</v>
      </c>
      <c r="C12" s="20">
        <f t="shared" ref="C12:C15" si="2">X12+AA12+AH12</f>
        <v>644800</v>
      </c>
      <c r="D12" s="202">
        <v>18</v>
      </c>
      <c r="E12" s="202">
        <v>16</v>
      </c>
      <c r="F12" s="202">
        <v>30</v>
      </c>
      <c r="G12" s="268">
        <v>6</v>
      </c>
      <c r="H12" s="268">
        <v>2</v>
      </c>
      <c r="I12" s="268"/>
      <c r="J12" s="268">
        <v>1</v>
      </c>
      <c r="K12" s="268">
        <v>0</v>
      </c>
      <c r="L12" s="280">
        <f t="shared" ref="L12:L15" si="3">D12+(E12*G12)</f>
        <v>114</v>
      </c>
      <c r="M12" s="301">
        <v>6</v>
      </c>
      <c r="N12" s="301">
        <v>2</v>
      </c>
      <c r="O12" s="301"/>
      <c r="P12" s="301"/>
      <c r="Q12" s="274" t="e">
        <f>+IF(#REF!&gt;0,$D$1/#REF!,0)</f>
        <v>#REF!</v>
      </c>
      <c r="R12" s="273"/>
      <c r="S12" s="273">
        <f>D12+(E12*G12)</f>
        <v>114</v>
      </c>
      <c r="T12" s="273">
        <v>1</v>
      </c>
      <c r="U12" s="273">
        <v>0</v>
      </c>
      <c r="V12" s="185">
        <f>D12+(E12*M12)</f>
        <v>114</v>
      </c>
      <c r="W12" s="85">
        <f>S12+V12</f>
        <v>228</v>
      </c>
      <c r="X12" s="19">
        <f>W12*$G$1</f>
        <v>570000</v>
      </c>
      <c r="Y12" s="205">
        <v>1</v>
      </c>
      <c r="Z12" s="205">
        <v>1</v>
      </c>
      <c r="AA12" s="3">
        <f t="shared" ref="AA12:AA15" si="4">(Y12+Z12)*$G$3*$D$1*0.4</f>
        <v>74800</v>
      </c>
      <c r="AB12" s="3">
        <f>AA12*0.4</f>
        <v>29920</v>
      </c>
      <c r="AC12" s="205"/>
      <c r="AD12" s="205"/>
      <c r="AE12" s="3"/>
      <c r="AF12" s="205">
        <v>0</v>
      </c>
      <c r="AG12" s="205">
        <v>0</v>
      </c>
      <c r="AH12" s="3">
        <f t="shared" ref="AH12:AH15" si="5">(AF12+AG12)*$G$3*$D$1*0.4</f>
        <v>0</v>
      </c>
      <c r="AI12" s="205"/>
      <c r="AJ12" s="205"/>
      <c r="AK12" s="3">
        <f t="shared" si="0"/>
        <v>0</v>
      </c>
      <c r="AL12" s="3">
        <f t="shared" ref="AL12:AL28" si="6">W12+AH12/$G$1+AK12/$G$1+AA12/$G$1</f>
        <v>257.92</v>
      </c>
      <c r="AM12" s="3"/>
      <c r="AN12" s="71"/>
      <c r="AO12" s="212">
        <v>0</v>
      </c>
      <c r="AP12" s="1">
        <f>IF(AQ12&gt;0,(W12-D12*2)*(H12+N12)/(G12+M12),0)</f>
        <v>64</v>
      </c>
      <c r="AQ12" s="185">
        <f>N12+H12</f>
        <v>4</v>
      </c>
      <c r="AR12" s="1"/>
      <c r="AS12" s="42"/>
      <c r="AT12" s="185">
        <f>SUM(P12,H12)</f>
        <v>2</v>
      </c>
    </row>
    <row r="13" spans="1:46" x14ac:dyDescent="0.25">
      <c r="A13" s="10" t="s">
        <v>347</v>
      </c>
      <c r="B13" s="333">
        <f t="shared" si="1"/>
        <v>257.92</v>
      </c>
      <c r="C13" s="20">
        <f t="shared" si="2"/>
        <v>644800</v>
      </c>
      <c r="D13" s="202">
        <v>18</v>
      </c>
      <c r="E13" s="202">
        <v>16</v>
      </c>
      <c r="F13" s="202">
        <v>30</v>
      </c>
      <c r="G13" s="268">
        <v>6</v>
      </c>
      <c r="H13" s="268">
        <v>3</v>
      </c>
      <c r="I13" s="268"/>
      <c r="J13" s="268"/>
      <c r="K13" s="268">
        <v>1</v>
      </c>
      <c r="L13" s="280">
        <f t="shared" si="3"/>
        <v>114</v>
      </c>
      <c r="M13" s="301">
        <v>6</v>
      </c>
      <c r="N13" s="301">
        <v>3</v>
      </c>
      <c r="O13" s="301"/>
      <c r="P13" s="301"/>
      <c r="Q13" s="274" t="e">
        <f>+IF(#REF!&gt;0,$D$1/#REF!,0)</f>
        <v>#REF!</v>
      </c>
      <c r="R13" s="273"/>
      <c r="S13" s="273">
        <f>D13+(E13*G13)</f>
        <v>114</v>
      </c>
      <c r="T13" s="273"/>
      <c r="U13" s="273">
        <v>1</v>
      </c>
      <c r="V13" s="185">
        <f>D13+(E13*M13)</f>
        <v>114</v>
      </c>
      <c r="W13" s="85">
        <f>S13+V13</f>
        <v>228</v>
      </c>
      <c r="X13" s="19">
        <f>W13*$G$1</f>
        <v>570000</v>
      </c>
      <c r="Y13" s="205"/>
      <c r="Z13" s="205"/>
      <c r="AA13" s="3">
        <f t="shared" si="4"/>
        <v>0</v>
      </c>
      <c r="AB13" s="3">
        <f t="shared" ref="AB13:AB15" si="7">AA13*0.4</f>
        <v>0</v>
      </c>
      <c r="AC13" s="205"/>
      <c r="AD13" s="205"/>
      <c r="AE13" s="3"/>
      <c r="AF13" s="205">
        <v>1</v>
      </c>
      <c r="AG13" s="205">
        <v>1</v>
      </c>
      <c r="AH13" s="3">
        <f t="shared" si="5"/>
        <v>74800</v>
      </c>
      <c r="AI13" s="205"/>
      <c r="AJ13" s="205"/>
      <c r="AK13" s="3">
        <f t="shared" si="0"/>
        <v>0</v>
      </c>
      <c r="AL13" s="3">
        <f t="shared" si="6"/>
        <v>257.92</v>
      </c>
      <c r="AM13" s="3"/>
      <c r="AN13" s="71"/>
      <c r="AO13" s="212">
        <v>0</v>
      </c>
      <c r="AP13" s="1">
        <f>IF(AQ13&gt;0,(W13-D13*2)*(H13+N13)/(G13+M13),0)</f>
        <v>96</v>
      </c>
      <c r="AQ13" s="185">
        <f>N13+H13</f>
        <v>6</v>
      </c>
      <c r="AR13" s="1"/>
      <c r="AS13" s="42"/>
      <c r="AT13" s="185">
        <f>SUM(P13,H13)</f>
        <v>3</v>
      </c>
    </row>
    <row r="14" spans="1:46" hidden="1" x14ac:dyDescent="0.25">
      <c r="A14" s="10" t="s">
        <v>28</v>
      </c>
      <c r="B14" s="333">
        <f t="shared" si="1"/>
        <v>0</v>
      </c>
      <c r="C14" s="20">
        <f t="shared" si="2"/>
        <v>0</v>
      </c>
      <c r="D14" s="202">
        <v>0</v>
      </c>
      <c r="E14" s="202"/>
      <c r="F14" s="202"/>
      <c r="G14" s="268">
        <v>0</v>
      </c>
      <c r="H14" s="268"/>
      <c r="I14" s="268"/>
      <c r="J14" s="268"/>
      <c r="K14" s="268"/>
      <c r="L14" s="280">
        <f t="shared" si="3"/>
        <v>0</v>
      </c>
      <c r="M14" s="301"/>
      <c r="N14" s="301"/>
      <c r="O14" s="301"/>
      <c r="P14" s="301"/>
      <c r="Q14" s="274" t="e">
        <f>+IF(#REF!&gt;0,$D$1/#REF!,0)</f>
        <v>#REF!</v>
      </c>
      <c r="R14" s="273"/>
      <c r="S14" s="273">
        <f>D14+(E14*G14)</f>
        <v>0</v>
      </c>
      <c r="T14" s="273"/>
      <c r="U14" s="273"/>
      <c r="V14" s="185">
        <f>D14+(E14*M14)</f>
        <v>0</v>
      </c>
      <c r="W14" s="85">
        <f>S14+V14</f>
        <v>0</v>
      </c>
      <c r="X14" s="19">
        <f>W14*$G$1</f>
        <v>0</v>
      </c>
      <c r="Y14" s="205"/>
      <c r="Z14" s="205"/>
      <c r="AA14" s="3">
        <f t="shared" si="4"/>
        <v>0</v>
      </c>
      <c r="AB14" s="3">
        <f t="shared" si="7"/>
        <v>0</v>
      </c>
      <c r="AC14" s="205"/>
      <c r="AD14" s="205"/>
      <c r="AE14" s="3"/>
      <c r="AF14" s="205"/>
      <c r="AG14" s="205"/>
      <c r="AH14" s="3">
        <f t="shared" si="5"/>
        <v>0</v>
      </c>
      <c r="AI14" s="205"/>
      <c r="AJ14" s="205"/>
      <c r="AK14" s="3">
        <f t="shared" si="0"/>
        <v>0</v>
      </c>
      <c r="AL14" s="3">
        <f t="shared" si="6"/>
        <v>0</v>
      </c>
      <c r="AM14" s="3"/>
      <c r="AN14" s="71"/>
      <c r="AO14" s="212">
        <v>0</v>
      </c>
      <c r="AP14" s="1">
        <f>IF(AQ14&gt;0,(W14-D14*2)*(H14+N14)/(G14+M14),0)</f>
        <v>0</v>
      </c>
      <c r="AQ14" s="185">
        <f>N14+H14</f>
        <v>0</v>
      </c>
      <c r="AR14" s="1"/>
      <c r="AS14" s="42"/>
      <c r="AT14" s="185">
        <f>SUM(P14,H14)</f>
        <v>0</v>
      </c>
    </row>
    <row r="15" spans="1:46" x14ac:dyDescent="0.25">
      <c r="A15" s="10" t="s">
        <v>12</v>
      </c>
      <c r="B15" s="333">
        <f t="shared" si="1"/>
        <v>4</v>
      </c>
      <c r="C15" s="20">
        <f t="shared" si="2"/>
        <v>10000</v>
      </c>
      <c r="D15" s="202">
        <v>2</v>
      </c>
      <c r="E15" s="202"/>
      <c r="F15" s="202"/>
      <c r="G15" s="268">
        <v>0</v>
      </c>
      <c r="H15" s="268"/>
      <c r="I15" s="268"/>
      <c r="J15" s="268"/>
      <c r="K15" s="268"/>
      <c r="L15" s="280">
        <f t="shared" si="3"/>
        <v>2</v>
      </c>
      <c r="M15" s="301"/>
      <c r="N15" s="301"/>
      <c r="O15" s="301"/>
      <c r="P15" s="301"/>
      <c r="Q15" s="274" t="e">
        <f>+IF(#REF!&gt;0,$D$1/#REF!,0)</f>
        <v>#REF!</v>
      </c>
      <c r="R15" s="273"/>
      <c r="S15" s="273">
        <f>D15+(E15*G15)</f>
        <v>2</v>
      </c>
      <c r="T15" s="273"/>
      <c r="U15" s="273"/>
      <c r="V15" s="185">
        <f>D15+(E15*M15)</f>
        <v>2</v>
      </c>
      <c r="W15" s="85">
        <f>S15+V15</f>
        <v>4</v>
      </c>
      <c r="X15" s="19">
        <f>W15*$G$1</f>
        <v>10000</v>
      </c>
      <c r="Y15" s="205"/>
      <c r="Z15" s="205"/>
      <c r="AA15" s="3">
        <f t="shared" si="4"/>
        <v>0</v>
      </c>
      <c r="AB15" s="3">
        <f t="shared" si="7"/>
        <v>0</v>
      </c>
      <c r="AC15" s="205"/>
      <c r="AD15" s="205"/>
      <c r="AE15" s="3"/>
      <c r="AF15" s="205"/>
      <c r="AG15" s="205"/>
      <c r="AH15" s="3">
        <f t="shared" si="5"/>
        <v>0</v>
      </c>
      <c r="AI15" s="205"/>
      <c r="AJ15" s="205"/>
      <c r="AK15" s="3">
        <f t="shared" si="0"/>
        <v>0</v>
      </c>
      <c r="AL15" s="3">
        <f t="shared" si="6"/>
        <v>4</v>
      </c>
      <c r="AM15" s="3"/>
      <c r="AN15" s="71"/>
      <c r="AO15" s="212">
        <v>26</v>
      </c>
      <c r="AP15" s="1">
        <f>IF(AQ15&gt;0,(W15-D15*2)*(H15+N15)/(G15+M15),0)</f>
        <v>0</v>
      </c>
      <c r="AQ15" s="185">
        <f>N15+H15</f>
        <v>0</v>
      </c>
      <c r="AR15" s="1"/>
      <c r="AS15" s="42"/>
      <c r="AT15" s="185">
        <f>SUM(P15,H15)</f>
        <v>0</v>
      </c>
    </row>
    <row r="16" spans="1:46" x14ac:dyDescent="0.25">
      <c r="A16" s="10"/>
      <c r="B16" s="333"/>
      <c r="C16" s="289"/>
      <c r="D16" s="202"/>
      <c r="E16" s="202"/>
      <c r="F16" s="202"/>
      <c r="G16" s="268"/>
      <c r="H16" s="268"/>
      <c r="I16" s="268"/>
      <c r="J16" s="268"/>
      <c r="K16" s="268"/>
      <c r="L16" s="280"/>
      <c r="M16" s="301"/>
      <c r="N16" s="301"/>
      <c r="O16" s="301"/>
      <c r="P16" s="301"/>
      <c r="Q16" s="274"/>
      <c r="R16" s="273"/>
      <c r="S16" s="273"/>
      <c r="T16" s="273"/>
      <c r="U16" s="273"/>
      <c r="V16" s="185"/>
      <c r="W16" s="85"/>
      <c r="X16" s="19"/>
      <c r="Y16" s="205"/>
      <c r="Z16" s="205"/>
      <c r="AA16" s="3"/>
      <c r="AB16" s="3"/>
      <c r="AC16" s="205"/>
      <c r="AD16" s="205"/>
      <c r="AE16" s="3"/>
      <c r="AF16" s="205"/>
      <c r="AG16" s="205"/>
      <c r="AH16" s="3"/>
      <c r="AI16" s="205"/>
      <c r="AJ16" s="205"/>
      <c r="AK16" s="3"/>
      <c r="AL16" s="3"/>
      <c r="AM16" s="3"/>
      <c r="AN16" s="71"/>
      <c r="AO16" s="212">
        <v>4</v>
      </c>
      <c r="AP16" s="1"/>
      <c r="AQ16" s="185"/>
      <c r="AR16" s="1"/>
      <c r="AS16" s="42"/>
      <c r="AT16" s="185"/>
    </row>
    <row r="17" spans="1:46" x14ac:dyDescent="0.25">
      <c r="A17" s="11" t="s">
        <v>17</v>
      </c>
      <c r="B17" s="332"/>
      <c r="C17" s="288"/>
      <c r="D17" s="202"/>
      <c r="E17" s="202"/>
      <c r="F17" s="202"/>
      <c r="G17" s="268"/>
      <c r="H17" s="268"/>
      <c r="I17" s="268"/>
      <c r="J17" s="268"/>
      <c r="K17" s="268"/>
      <c r="L17" s="280"/>
      <c r="M17" s="301"/>
      <c r="N17" s="301"/>
      <c r="O17" s="301"/>
      <c r="P17" s="301"/>
      <c r="Q17" s="274"/>
      <c r="R17" s="273"/>
      <c r="S17" s="273"/>
      <c r="T17" s="273"/>
      <c r="U17" s="273"/>
      <c r="V17" s="185"/>
      <c r="W17" s="85"/>
      <c r="X17" s="19"/>
      <c r="Y17" s="205"/>
      <c r="Z17" s="205"/>
      <c r="AA17" s="19"/>
      <c r="AB17" s="19"/>
      <c r="AC17" s="205"/>
      <c r="AD17" s="205"/>
      <c r="AE17" s="19"/>
      <c r="AF17" s="205"/>
      <c r="AG17" s="205"/>
      <c r="AH17" s="3"/>
      <c r="AI17" s="205"/>
      <c r="AJ17" s="205"/>
      <c r="AK17" s="3"/>
      <c r="AL17" s="3"/>
      <c r="AM17" s="3"/>
      <c r="AN17" s="71"/>
      <c r="AO17" s="212"/>
      <c r="AP17" s="1"/>
      <c r="AQ17" s="185"/>
      <c r="AR17" s="1"/>
      <c r="AS17" s="42"/>
      <c r="AT17" s="185">
        <f>SUM(P16,H16)</f>
        <v>0</v>
      </c>
    </row>
    <row r="18" spans="1:46" x14ac:dyDescent="0.25">
      <c r="A18" s="11" t="s">
        <v>348</v>
      </c>
      <c r="B18" s="332"/>
      <c r="C18" s="288"/>
      <c r="D18" s="202"/>
      <c r="E18" s="202"/>
      <c r="F18" s="202"/>
      <c r="G18" s="268"/>
      <c r="H18" s="268"/>
      <c r="I18" s="268"/>
      <c r="J18" s="268"/>
      <c r="K18" s="268"/>
      <c r="L18" s="280"/>
      <c r="M18" s="301"/>
      <c r="N18" s="301"/>
      <c r="O18" s="301"/>
      <c r="P18" s="301"/>
      <c r="Q18" s="274"/>
      <c r="R18" s="273"/>
      <c r="S18" s="273"/>
      <c r="T18" s="273"/>
      <c r="U18" s="273"/>
      <c r="V18" s="185"/>
      <c r="W18" s="85">
        <f>SUM(W19:W21)</f>
        <v>250</v>
      </c>
      <c r="X18" s="19"/>
      <c r="Y18" s="205"/>
      <c r="Z18" s="205"/>
      <c r="AA18" s="19"/>
      <c r="AB18" s="19"/>
      <c r="AC18" s="205"/>
      <c r="AD18" s="205"/>
      <c r="AE18" s="19"/>
      <c r="AF18" s="205"/>
      <c r="AG18" s="205"/>
      <c r="AH18" s="3"/>
      <c r="AI18" s="205"/>
      <c r="AJ18" s="205"/>
      <c r="AK18" s="3"/>
      <c r="AL18" s="3"/>
      <c r="AM18" s="3"/>
      <c r="AN18" s="71"/>
      <c r="AO18" s="212">
        <f>D17*2*$AO$5</f>
        <v>0</v>
      </c>
      <c r="AP18" s="1"/>
      <c r="AQ18" s="185"/>
      <c r="AR18" s="1"/>
      <c r="AS18" s="42"/>
      <c r="AT18" s="185">
        <f>SUM(P17,H17)</f>
        <v>0</v>
      </c>
    </row>
    <row r="19" spans="1:46" x14ac:dyDescent="0.25">
      <c r="A19" s="10" t="s">
        <v>191</v>
      </c>
      <c r="B19" s="333">
        <f t="shared" ref="B19:B21" si="8">W19+AH19/$G$1+AK19/$G$1+AA19/$G$1</f>
        <v>2</v>
      </c>
      <c r="C19" s="20">
        <f t="shared" ref="C19:C21" si="9">X19+AA19+AH19</f>
        <v>5000</v>
      </c>
      <c r="D19" s="202">
        <v>1</v>
      </c>
      <c r="E19" s="202"/>
      <c r="F19" s="202"/>
      <c r="G19" s="268">
        <v>0</v>
      </c>
      <c r="H19" s="268"/>
      <c r="I19" s="268"/>
      <c r="J19" s="268"/>
      <c r="K19" s="268"/>
      <c r="L19" s="280">
        <f t="shared" ref="L19:L21" si="10">D19+(E19*G19)</f>
        <v>1</v>
      </c>
      <c r="M19" s="301"/>
      <c r="N19" s="301"/>
      <c r="O19" s="301"/>
      <c r="P19" s="301"/>
      <c r="Q19" s="274" t="e">
        <f>+IF(#REF!&gt;0,$D$1/#REF!,0)</f>
        <v>#REF!</v>
      </c>
      <c r="R19" s="273"/>
      <c r="S19" s="273">
        <f>D19+(E19*G19)</f>
        <v>1</v>
      </c>
      <c r="T19" s="273"/>
      <c r="U19" s="273"/>
      <c r="V19" s="185">
        <f>D19+(E19*M19)</f>
        <v>1</v>
      </c>
      <c r="W19" s="85">
        <f>S19+V19</f>
        <v>2</v>
      </c>
      <c r="X19" s="19">
        <f>W19*$G$1</f>
        <v>5000</v>
      </c>
      <c r="Y19" s="205"/>
      <c r="Z19" s="205"/>
      <c r="AA19" s="3">
        <f t="shared" ref="AA19:AA21" si="11">(Y19+Z19)*$G$3*$D$1*0.4</f>
        <v>0</v>
      </c>
      <c r="AB19" s="3">
        <f t="shared" ref="AB19:AB21" si="12">AA19*0.4</f>
        <v>0</v>
      </c>
      <c r="AC19" s="205"/>
      <c r="AD19" s="205"/>
      <c r="AE19" s="3"/>
      <c r="AF19" s="205"/>
      <c r="AG19" s="205"/>
      <c r="AH19" s="3">
        <f t="shared" ref="AH19:AH21" si="13">(AF19+AG19)*$G$3*$D$1*0.4</f>
        <v>0</v>
      </c>
      <c r="AI19" s="205"/>
      <c r="AJ19" s="205"/>
      <c r="AK19" s="3">
        <f t="shared" ref="AK19:AK28" si="14">(AI19+AJ19)*$G$3*$D$1*0.25</f>
        <v>0</v>
      </c>
      <c r="AL19" s="3">
        <f t="shared" si="6"/>
        <v>2</v>
      </c>
      <c r="AM19" s="3"/>
      <c r="AN19" s="71"/>
      <c r="AO19" s="212">
        <f>D18*2*$AO$5</f>
        <v>0</v>
      </c>
      <c r="AP19" s="1">
        <f>IF(AQ19&gt;0,(W19-D19*2)*(H19+N19)/(G19+M19),0)</f>
        <v>0</v>
      </c>
      <c r="AQ19" s="185">
        <f>N19+H19</f>
        <v>0</v>
      </c>
      <c r="AR19" s="1"/>
      <c r="AS19" s="42"/>
      <c r="AT19" s="185">
        <f>SUM(P19,H19)</f>
        <v>0</v>
      </c>
    </row>
    <row r="20" spans="1:46" x14ac:dyDescent="0.25">
      <c r="A20" s="10" t="s">
        <v>349</v>
      </c>
      <c r="B20" s="333">
        <f t="shared" si="8"/>
        <v>157.92000000000002</v>
      </c>
      <c r="C20" s="20">
        <f t="shared" si="9"/>
        <v>394800</v>
      </c>
      <c r="D20" s="202">
        <v>16</v>
      </c>
      <c r="E20" s="202">
        <v>8</v>
      </c>
      <c r="F20" s="202">
        <v>30</v>
      </c>
      <c r="G20" s="268">
        <v>6</v>
      </c>
      <c r="H20" s="268">
        <v>1</v>
      </c>
      <c r="I20" s="268"/>
      <c r="J20" s="268"/>
      <c r="K20" s="268">
        <v>1</v>
      </c>
      <c r="L20" s="280">
        <f t="shared" si="10"/>
        <v>64</v>
      </c>
      <c r="M20" s="301">
        <v>6</v>
      </c>
      <c r="N20" s="301">
        <v>3</v>
      </c>
      <c r="O20" s="301"/>
      <c r="P20" s="301"/>
      <c r="Q20" s="274">
        <v>0</v>
      </c>
      <c r="R20" s="273"/>
      <c r="S20" s="273">
        <f>D20+(E20*G20)</f>
        <v>64</v>
      </c>
      <c r="T20" s="273"/>
      <c r="U20" s="273">
        <v>1</v>
      </c>
      <c r="V20" s="185">
        <f>D20+(E20*M20)</f>
        <v>64</v>
      </c>
      <c r="W20" s="85">
        <f>S20+V20</f>
        <v>128</v>
      </c>
      <c r="X20" s="19">
        <f>W20*$G$1</f>
        <v>320000</v>
      </c>
      <c r="Y20" s="205"/>
      <c r="Z20" s="205"/>
      <c r="AA20" s="3">
        <f t="shared" si="11"/>
        <v>0</v>
      </c>
      <c r="AB20" s="3">
        <f t="shared" si="12"/>
        <v>0</v>
      </c>
      <c r="AC20" s="205"/>
      <c r="AD20" s="205"/>
      <c r="AE20" s="3"/>
      <c r="AF20" s="205">
        <v>1</v>
      </c>
      <c r="AG20" s="205">
        <v>1</v>
      </c>
      <c r="AH20" s="3">
        <f t="shared" si="13"/>
        <v>74800</v>
      </c>
      <c r="AI20" s="205"/>
      <c r="AJ20" s="205"/>
      <c r="AK20" s="3">
        <f t="shared" si="14"/>
        <v>0</v>
      </c>
      <c r="AL20" s="3">
        <f t="shared" si="6"/>
        <v>157.92000000000002</v>
      </c>
      <c r="AM20" s="3"/>
      <c r="AN20" s="71"/>
      <c r="AO20" s="212">
        <v>0</v>
      </c>
      <c r="AP20" s="1">
        <f>IF(AQ20&gt;0,(W20-D20*2)*(H20+N20)/(G20+M20),0)</f>
        <v>32</v>
      </c>
      <c r="AQ20" s="185">
        <f>N20+H20</f>
        <v>4</v>
      </c>
      <c r="AR20" s="1"/>
      <c r="AS20" s="42"/>
      <c r="AT20" s="185">
        <f>SUM(P20,H20)</f>
        <v>1</v>
      </c>
    </row>
    <row r="21" spans="1:46" x14ac:dyDescent="0.25">
      <c r="A21" s="10" t="s">
        <v>350</v>
      </c>
      <c r="B21" s="333">
        <f t="shared" si="8"/>
        <v>149.92000000000002</v>
      </c>
      <c r="C21" s="20">
        <f t="shared" si="9"/>
        <v>427300</v>
      </c>
      <c r="D21" s="202">
        <v>4</v>
      </c>
      <c r="E21" s="202">
        <v>8</v>
      </c>
      <c r="F21" s="202">
        <v>30</v>
      </c>
      <c r="G21" s="268">
        <v>7</v>
      </c>
      <c r="H21" s="268">
        <v>2</v>
      </c>
      <c r="I21" s="268">
        <v>56</v>
      </c>
      <c r="J21" s="268"/>
      <c r="K21" s="268">
        <v>1</v>
      </c>
      <c r="L21" s="280">
        <f t="shared" si="10"/>
        <v>60</v>
      </c>
      <c r="M21" s="301">
        <v>7</v>
      </c>
      <c r="N21" s="301">
        <v>3</v>
      </c>
      <c r="O21" s="301">
        <f>M21*2</f>
        <v>14</v>
      </c>
      <c r="P21" s="301"/>
      <c r="Q21" s="274" t="e">
        <f>+IF(#REF!&gt;0,$D$1/#REF!,0)</f>
        <v>#REF!</v>
      </c>
      <c r="R21" s="273"/>
      <c r="S21" s="273">
        <f>D21+(E21*G21)</f>
        <v>60</v>
      </c>
      <c r="T21" s="273"/>
      <c r="U21" s="273">
        <v>1</v>
      </c>
      <c r="V21" s="185">
        <f>D21+(E21*M21)</f>
        <v>60</v>
      </c>
      <c r="W21" s="85">
        <f>S21+V21</f>
        <v>120</v>
      </c>
      <c r="X21" s="19">
        <f>(D21*2*G1)+((E21*G21)+(E21*M21))*G1+(I21+O21)*G2</f>
        <v>352500</v>
      </c>
      <c r="Y21" s="207"/>
      <c r="Z21" s="207"/>
      <c r="AA21" s="3">
        <f t="shared" si="11"/>
        <v>0</v>
      </c>
      <c r="AB21" s="3">
        <f t="shared" si="12"/>
        <v>0</v>
      </c>
      <c r="AC21" s="207"/>
      <c r="AD21" s="207"/>
      <c r="AE21" s="3"/>
      <c r="AF21" s="207">
        <v>1</v>
      </c>
      <c r="AG21" s="207">
        <v>1</v>
      </c>
      <c r="AH21" s="3">
        <f t="shared" si="13"/>
        <v>74800</v>
      </c>
      <c r="AI21" s="207"/>
      <c r="AJ21" s="207"/>
      <c r="AK21" s="3">
        <f t="shared" si="14"/>
        <v>0</v>
      </c>
      <c r="AL21" s="3">
        <f t="shared" si="6"/>
        <v>149.92000000000002</v>
      </c>
      <c r="AM21" s="3"/>
      <c r="AN21" s="71"/>
      <c r="AO21" s="212">
        <v>2</v>
      </c>
      <c r="AP21" s="1">
        <f>IF(AQ21&gt;0,(W21-D21*2)*(H21+N21)/(G21+M21),0)</f>
        <v>40</v>
      </c>
      <c r="AQ21" s="185">
        <f>N21+H21</f>
        <v>5</v>
      </c>
      <c r="AR21" s="1"/>
      <c r="AS21" s="42"/>
      <c r="AT21" s="185">
        <f>SUM(P21,H21)</f>
        <v>2</v>
      </c>
    </row>
    <row r="22" spans="1:46" x14ac:dyDescent="0.25">
      <c r="A22" s="11" t="s">
        <v>19</v>
      </c>
      <c r="B22" s="332"/>
      <c r="C22" s="288"/>
      <c r="D22" s="202"/>
      <c r="E22" s="202"/>
      <c r="F22" s="202"/>
      <c r="G22" s="268"/>
      <c r="H22" s="268"/>
      <c r="I22" s="268"/>
      <c r="J22" s="268"/>
      <c r="K22" s="268"/>
      <c r="L22" s="280"/>
      <c r="M22" s="301"/>
      <c r="N22" s="301"/>
      <c r="O22" s="301"/>
      <c r="P22" s="301"/>
      <c r="Q22" s="274"/>
      <c r="R22" s="273"/>
      <c r="S22" s="273"/>
      <c r="T22" s="273"/>
      <c r="U22" s="273"/>
      <c r="V22" s="185"/>
      <c r="W22" s="85"/>
      <c r="X22" s="19"/>
      <c r="Y22" s="205"/>
      <c r="Z22" s="205"/>
      <c r="AA22" s="19"/>
      <c r="AB22" s="19"/>
      <c r="AC22" s="205"/>
      <c r="AD22" s="205"/>
      <c r="AE22" s="19"/>
      <c r="AF22" s="205"/>
      <c r="AG22" s="205"/>
      <c r="AH22" s="3"/>
      <c r="AI22" s="205"/>
      <c r="AJ22" s="205"/>
      <c r="AK22" s="3">
        <f t="shared" si="14"/>
        <v>0</v>
      </c>
      <c r="AL22" s="3"/>
      <c r="AM22" s="3"/>
      <c r="AN22" s="71"/>
      <c r="AO22" s="212">
        <v>0</v>
      </c>
      <c r="AP22" s="1"/>
      <c r="AQ22" s="185"/>
      <c r="AR22" s="1"/>
      <c r="AS22" s="42"/>
      <c r="AT22" s="185">
        <f>SUM(P21,H21)</f>
        <v>2</v>
      </c>
    </row>
    <row r="23" spans="1:46" x14ac:dyDescent="0.25">
      <c r="A23" s="22" t="s">
        <v>244</v>
      </c>
      <c r="B23" s="333">
        <f t="shared" ref="B23:B28" si="15">W23+AH23/$G$1+AK23/$G$1+AA23/$G$1</f>
        <v>6</v>
      </c>
      <c r="C23" s="20">
        <f t="shared" ref="C23:C28" si="16">X23+AA23+AH23</f>
        <v>15000</v>
      </c>
      <c r="D23" s="202">
        <v>3</v>
      </c>
      <c r="E23" s="202"/>
      <c r="F23" s="202"/>
      <c r="G23" s="268"/>
      <c r="H23" s="268"/>
      <c r="I23" s="268"/>
      <c r="J23" s="268"/>
      <c r="K23" s="268"/>
      <c r="L23" s="280">
        <f t="shared" ref="L23:L28" si="17">D23+(E23*G23)</f>
        <v>3</v>
      </c>
      <c r="M23" s="301"/>
      <c r="N23" s="301"/>
      <c r="O23" s="301"/>
      <c r="P23" s="301"/>
      <c r="Q23" s="274"/>
      <c r="R23" s="273"/>
      <c r="S23" s="273">
        <f t="shared" ref="S23:S28" si="18">D23+(E23*G23)</f>
        <v>3</v>
      </c>
      <c r="T23" s="273"/>
      <c r="U23" s="273"/>
      <c r="V23" s="185">
        <f t="shared" ref="V23:V28" si="19">D23+(E23*M23)</f>
        <v>3</v>
      </c>
      <c r="W23" s="85">
        <f t="shared" ref="W23:W28" si="20">S23+V23</f>
        <v>6</v>
      </c>
      <c r="X23" s="19">
        <f t="shared" ref="X23:X28" si="21">W23*$G$1</f>
        <v>15000</v>
      </c>
      <c r="Y23" s="205"/>
      <c r="Z23" s="205"/>
      <c r="AA23" s="3">
        <f t="shared" ref="AA23:AA28" si="22">(Y23+Z23)*$G$3*$D$1*0.4</f>
        <v>0</v>
      </c>
      <c r="AB23" s="3">
        <f t="shared" ref="AB23:AB28" si="23">AA23*0.4</f>
        <v>0</v>
      </c>
      <c r="AC23" s="205"/>
      <c r="AD23" s="205"/>
      <c r="AE23" s="3"/>
      <c r="AF23" s="205"/>
      <c r="AG23" s="205"/>
      <c r="AH23" s="3">
        <f t="shared" ref="AH23:AH28" si="24">(AF23+AG23)*$G$3*$D$1*0.4</f>
        <v>0</v>
      </c>
      <c r="AI23" s="205"/>
      <c r="AJ23" s="205"/>
      <c r="AK23" s="3">
        <f t="shared" si="14"/>
        <v>0</v>
      </c>
      <c r="AL23" s="3">
        <f t="shared" si="6"/>
        <v>6</v>
      </c>
      <c r="AM23" s="3"/>
      <c r="AN23" s="71"/>
      <c r="AO23" s="212">
        <v>2</v>
      </c>
      <c r="AP23" s="1">
        <f t="shared" ref="AP23:AP28" si="25">IF(AQ23&gt;0,(W23-D23*2)*(H23+N23)/(G23+M23),0)</f>
        <v>0</v>
      </c>
      <c r="AQ23" s="185">
        <f t="shared" ref="AQ23:AQ28" si="26">N23+H23</f>
        <v>0</v>
      </c>
      <c r="AR23" s="1"/>
      <c r="AS23" s="42"/>
      <c r="AT23" s="185">
        <f t="shared" ref="AT23:AT28" si="27">SUM(P23,H23)</f>
        <v>0</v>
      </c>
    </row>
    <row r="24" spans="1:46" x14ac:dyDescent="0.25">
      <c r="A24" s="10" t="s">
        <v>351</v>
      </c>
      <c r="B24" s="333">
        <f t="shared" si="15"/>
        <v>117.92</v>
      </c>
      <c r="C24" s="20">
        <f t="shared" si="16"/>
        <v>294800</v>
      </c>
      <c r="D24" s="202">
        <v>14</v>
      </c>
      <c r="E24" s="202">
        <v>10</v>
      </c>
      <c r="F24" s="202">
        <v>40</v>
      </c>
      <c r="G24" s="268">
        <v>3</v>
      </c>
      <c r="H24" s="268">
        <v>0</v>
      </c>
      <c r="I24" s="268"/>
      <c r="J24" s="268">
        <v>1</v>
      </c>
      <c r="K24" s="268">
        <v>0</v>
      </c>
      <c r="L24" s="280">
        <f t="shared" si="17"/>
        <v>44</v>
      </c>
      <c r="M24" s="301">
        <v>3</v>
      </c>
      <c r="N24" s="301">
        <v>0</v>
      </c>
      <c r="O24" s="301"/>
      <c r="P24" s="301"/>
      <c r="Q24" s="274" t="e">
        <f>+IF(#REF!&gt;0,$D$1/#REF!,0)</f>
        <v>#REF!</v>
      </c>
      <c r="R24" s="273"/>
      <c r="S24" s="273">
        <f t="shared" si="18"/>
        <v>44</v>
      </c>
      <c r="T24" s="273">
        <v>1</v>
      </c>
      <c r="U24" s="273">
        <v>0</v>
      </c>
      <c r="V24" s="185">
        <f t="shared" si="19"/>
        <v>44</v>
      </c>
      <c r="W24" s="85">
        <f t="shared" si="20"/>
        <v>88</v>
      </c>
      <c r="X24" s="19">
        <f t="shared" si="21"/>
        <v>220000</v>
      </c>
      <c r="Y24" s="205">
        <v>1</v>
      </c>
      <c r="Z24" s="205">
        <v>1</v>
      </c>
      <c r="AA24" s="3">
        <f t="shared" si="22"/>
        <v>74800</v>
      </c>
      <c r="AB24" s="3">
        <f t="shared" si="23"/>
        <v>29920</v>
      </c>
      <c r="AC24" s="205"/>
      <c r="AD24" s="205"/>
      <c r="AE24" s="3"/>
      <c r="AF24" s="205">
        <v>0</v>
      </c>
      <c r="AG24" s="205">
        <v>0</v>
      </c>
      <c r="AH24" s="3">
        <f t="shared" si="24"/>
        <v>0</v>
      </c>
      <c r="AI24" s="205"/>
      <c r="AJ24" s="205"/>
      <c r="AK24" s="3">
        <f t="shared" si="14"/>
        <v>0</v>
      </c>
      <c r="AL24" s="3">
        <f t="shared" si="6"/>
        <v>117.92</v>
      </c>
      <c r="AM24" s="3"/>
      <c r="AN24" s="71"/>
      <c r="AO24" s="212">
        <v>0</v>
      </c>
      <c r="AP24" s="1">
        <f t="shared" si="25"/>
        <v>0</v>
      </c>
      <c r="AQ24" s="185">
        <f t="shared" si="26"/>
        <v>0</v>
      </c>
      <c r="AR24" s="1"/>
      <c r="AS24" s="205"/>
      <c r="AT24" s="185">
        <f t="shared" si="27"/>
        <v>0</v>
      </c>
    </row>
    <row r="25" spans="1:46" x14ac:dyDescent="0.25">
      <c r="A25" s="10" t="s">
        <v>352</v>
      </c>
      <c r="B25" s="333">
        <f t="shared" si="15"/>
        <v>97.92</v>
      </c>
      <c r="C25" s="20">
        <f t="shared" si="16"/>
        <v>244800</v>
      </c>
      <c r="D25" s="202">
        <v>14</v>
      </c>
      <c r="E25" s="202">
        <v>10</v>
      </c>
      <c r="F25" s="202">
        <v>40</v>
      </c>
      <c r="G25" s="268">
        <v>2</v>
      </c>
      <c r="H25" s="268">
        <v>0</v>
      </c>
      <c r="I25" s="268"/>
      <c r="J25" s="268"/>
      <c r="K25" s="268">
        <v>1</v>
      </c>
      <c r="L25" s="280">
        <f t="shared" si="17"/>
        <v>34</v>
      </c>
      <c r="M25" s="301">
        <v>2</v>
      </c>
      <c r="N25" s="301">
        <v>0</v>
      </c>
      <c r="O25" s="301"/>
      <c r="P25" s="301"/>
      <c r="Q25" s="274" t="e">
        <f>+IF(#REF!&gt;0,$D$1/#REF!,0)</f>
        <v>#REF!</v>
      </c>
      <c r="R25" s="273"/>
      <c r="S25" s="273">
        <f t="shared" si="18"/>
        <v>34</v>
      </c>
      <c r="T25" s="273"/>
      <c r="U25" s="273">
        <v>1</v>
      </c>
      <c r="V25" s="185">
        <f t="shared" si="19"/>
        <v>34</v>
      </c>
      <c r="W25" s="85">
        <f t="shared" si="20"/>
        <v>68</v>
      </c>
      <c r="X25" s="19">
        <f t="shared" si="21"/>
        <v>170000</v>
      </c>
      <c r="Y25" s="205"/>
      <c r="Z25" s="205"/>
      <c r="AA25" s="3">
        <f t="shared" si="22"/>
        <v>0</v>
      </c>
      <c r="AB25" s="3">
        <f t="shared" si="23"/>
        <v>0</v>
      </c>
      <c r="AC25" s="205"/>
      <c r="AD25" s="205"/>
      <c r="AE25" s="3"/>
      <c r="AF25" s="205">
        <v>1</v>
      </c>
      <c r="AG25" s="205">
        <v>1</v>
      </c>
      <c r="AH25" s="3">
        <f t="shared" si="24"/>
        <v>74800</v>
      </c>
      <c r="AI25" s="205"/>
      <c r="AJ25" s="205"/>
      <c r="AK25" s="3">
        <f t="shared" si="14"/>
        <v>0</v>
      </c>
      <c r="AL25" s="3">
        <f t="shared" si="6"/>
        <v>97.92</v>
      </c>
      <c r="AM25" s="3"/>
      <c r="AN25" s="71"/>
      <c r="AO25" s="212">
        <v>0</v>
      </c>
      <c r="AP25" s="1">
        <f t="shared" si="25"/>
        <v>0</v>
      </c>
      <c r="AQ25" s="185">
        <f t="shared" si="26"/>
        <v>0</v>
      </c>
      <c r="AR25" s="1"/>
      <c r="AS25" s="205"/>
      <c r="AT25" s="185">
        <f t="shared" si="27"/>
        <v>0</v>
      </c>
    </row>
    <row r="26" spans="1:46" x14ac:dyDescent="0.25">
      <c r="A26" s="10" t="s">
        <v>353</v>
      </c>
      <c r="B26" s="333">
        <f t="shared" si="15"/>
        <v>97.92</v>
      </c>
      <c r="C26" s="20">
        <f t="shared" si="16"/>
        <v>244800</v>
      </c>
      <c r="D26" s="202">
        <v>14</v>
      </c>
      <c r="E26" s="202">
        <v>10</v>
      </c>
      <c r="F26" s="202">
        <v>25</v>
      </c>
      <c r="G26" s="268">
        <v>2</v>
      </c>
      <c r="H26" s="268">
        <v>1</v>
      </c>
      <c r="I26" s="268"/>
      <c r="J26" s="268"/>
      <c r="K26" s="268">
        <v>1</v>
      </c>
      <c r="L26" s="280">
        <f t="shared" si="17"/>
        <v>34</v>
      </c>
      <c r="M26" s="301">
        <v>2</v>
      </c>
      <c r="N26" s="301">
        <v>1</v>
      </c>
      <c r="O26" s="301"/>
      <c r="P26" s="301"/>
      <c r="Q26" s="274"/>
      <c r="R26" s="273"/>
      <c r="S26" s="273">
        <f t="shared" si="18"/>
        <v>34</v>
      </c>
      <c r="T26" s="273"/>
      <c r="U26" s="273">
        <v>1</v>
      </c>
      <c r="V26" s="185">
        <f t="shared" si="19"/>
        <v>34</v>
      </c>
      <c r="W26" s="85">
        <f t="shared" si="20"/>
        <v>68</v>
      </c>
      <c r="X26" s="19">
        <f t="shared" si="21"/>
        <v>170000</v>
      </c>
      <c r="Y26" s="205"/>
      <c r="Z26" s="205"/>
      <c r="AA26" s="3">
        <f t="shared" si="22"/>
        <v>0</v>
      </c>
      <c r="AB26" s="3">
        <f t="shared" si="23"/>
        <v>0</v>
      </c>
      <c r="AC26" s="205"/>
      <c r="AD26" s="205"/>
      <c r="AE26" s="3"/>
      <c r="AF26" s="205">
        <v>1</v>
      </c>
      <c r="AG26" s="205">
        <v>1</v>
      </c>
      <c r="AH26" s="3">
        <f t="shared" si="24"/>
        <v>74800</v>
      </c>
      <c r="AI26" s="205"/>
      <c r="AJ26" s="205"/>
      <c r="AK26" s="3">
        <f t="shared" si="14"/>
        <v>0</v>
      </c>
      <c r="AL26" s="3">
        <f t="shared" si="6"/>
        <v>97.92</v>
      </c>
      <c r="AM26" s="3"/>
      <c r="AN26" s="71"/>
      <c r="AO26" s="212">
        <v>0</v>
      </c>
      <c r="AP26" s="1">
        <f t="shared" si="25"/>
        <v>20</v>
      </c>
      <c r="AQ26" s="185">
        <f t="shared" si="26"/>
        <v>2</v>
      </c>
      <c r="AR26" s="1"/>
      <c r="AS26" s="205"/>
      <c r="AT26" s="185">
        <f t="shared" si="27"/>
        <v>1</v>
      </c>
    </row>
    <row r="27" spans="1:46" x14ac:dyDescent="0.25">
      <c r="A27" s="23" t="s">
        <v>284</v>
      </c>
      <c r="B27" s="333">
        <f t="shared" si="15"/>
        <v>0</v>
      </c>
      <c r="C27" s="20">
        <f t="shared" si="16"/>
        <v>0</v>
      </c>
      <c r="D27" s="202">
        <v>0</v>
      </c>
      <c r="E27" s="202"/>
      <c r="F27" s="202"/>
      <c r="G27" s="268"/>
      <c r="H27" s="268"/>
      <c r="I27" s="268"/>
      <c r="J27" s="268"/>
      <c r="K27" s="268"/>
      <c r="L27" s="280">
        <f t="shared" si="17"/>
        <v>0</v>
      </c>
      <c r="M27" s="301"/>
      <c r="N27" s="301"/>
      <c r="O27" s="301"/>
      <c r="P27" s="301"/>
      <c r="Q27" s="274"/>
      <c r="R27" s="273"/>
      <c r="S27" s="273">
        <f t="shared" si="18"/>
        <v>0</v>
      </c>
      <c r="T27" s="273"/>
      <c r="U27" s="273"/>
      <c r="V27" s="185">
        <f t="shared" si="19"/>
        <v>0</v>
      </c>
      <c r="W27" s="85">
        <f t="shared" si="20"/>
        <v>0</v>
      </c>
      <c r="X27" s="19">
        <f t="shared" si="21"/>
        <v>0</v>
      </c>
      <c r="Y27" s="205"/>
      <c r="Z27" s="205"/>
      <c r="AA27" s="3">
        <f t="shared" si="22"/>
        <v>0</v>
      </c>
      <c r="AB27" s="3">
        <f t="shared" si="23"/>
        <v>0</v>
      </c>
      <c r="AC27" s="205"/>
      <c r="AD27" s="205"/>
      <c r="AE27" s="3"/>
      <c r="AF27" s="205"/>
      <c r="AG27" s="205"/>
      <c r="AH27" s="3">
        <f t="shared" si="24"/>
        <v>0</v>
      </c>
      <c r="AI27" s="205"/>
      <c r="AJ27" s="205"/>
      <c r="AK27" s="3">
        <f t="shared" si="14"/>
        <v>0</v>
      </c>
      <c r="AL27" s="3">
        <f t="shared" si="6"/>
        <v>0</v>
      </c>
      <c r="AM27" s="3"/>
      <c r="AN27" s="71"/>
      <c r="AO27" s="212"/>
      <c r="AP27" s="1">
        <f t="shared" si="25"/>
        <v>0</v>
      </c>
      <c r="AQ27" s="185">
        <f t="shared" si="26"/>
        <v>0</v>
      </c>
      <c r="AR27" s="1"/>
      <c r="AS27" s="205"/>
      <c r="AT27" s="185">
        <f t="shared" si="27"/>
        <v>0</v>
      </c>
    </row>
    <row r="28" spans="1:46" x14ac:dyDescent="0.25">
      <c r="A28" s="10" t="s">
        <v>193</v>
      </c>
      <c r="B28" s="333">
        <f t="shared" si="15"/>
        <v>20</v>
      </c>
      <c r="C28" s="20">
        <f t="shared" si="16"/>
        <v>50000</v>
      </c>
      <c r="D28" s="202">
        <v>10</v>
      </c>
      <c r="E28" s="202"/>
      <c r="F28" s="202"/>
      <c r="G28" s="268"/>
      <c r="H28" s="268"/>
      <c r="I28" s="268"/>
      <c r="J28" s="268"/>
      <c r="K28" s="268"/>
      <c r="L28" s="280">
        <f t="shared" si="17"/>
        <v>10</v>
      </c>
      <c r="M28" s="301"/>
      <c r="N28" s="301"/>
      <c r="O28" s="301"/>
      <c r="P28" s="301"/>
      <c r="Q28" s="274" t="e">
        <f>+IF(#REF!&gt;0,$D$1/#REF!,0)</f>
        <v>#REF!</v>
      </c>
      <c r="R28" s="273"/>
      <c r="S28" s="273">
        <f t="shared" si="18"/>
        <v>10</v>
      </c>
      <c r="T28" s="273"/>
      <c r="U28" s="273"/>
      <c r="V28" s="185">
        <f t="shared" si="19"/>
        <v>10</v>
      </c>
      <c r="W28" s="85">
        <f t="shared" si="20"/>
        <v>20</v>
      </c>
      <c r="X28" s="19">
        <f t="shared" si="21"/>
        <v>50000</v>
      </c>
      <c r="Y28" s="205"/>
      <c r="Z28" s="205"/>
      <c r="AA28" s="3">
        <f t="shared" si="22"/>
        <v>0</v>
      </c>
      <c r="AB28" s="3">
        <f t="shared" si="23"/>
        <v>0</v>
      </c>
      <c r="AC28" s="205"/>
      <c r="AD28" s="205"/>
      <c r="AE28" s="3"/>
      <c r="AF28" s="205"/>
      <c r="AG28" s="205"/>
      <c r="AH28" s="3">
        <f t="shared" si="24"/>
        <v>0</v>
      </c>
      <c r="AI28" s="205"/>
      <c r="AJ28" s="205"/>
      <c r="AK28" s="3">
        <f t="shared" si="14"/>
        <v>0</v>
      </c>
      <c r="AL28" s="3">
        <f t="shared" si="6"/>
        <v>20</v>
      </c>
      <c r="AM28" s="3"/>
      <c r="AN28" s="71"/>
      <c r="AO28" s="212">
        <v>0</v>
      </c>
      <c r="AP28" s="1">
        <f t="shared" si="25"/>
        <v>0</v>
      </c>
      <c r="AQ28" s="185">
        <f t="shared" si="26"/>
        <v>0</v>
      </c>
      <c r="AR28" s="1"/>
      <c r="AS28" s="205"/>
      <c r="AT28" s="185">
        <f t="shared" si="27"/>
        <v>0</v>
      </c>
    </row>
    <row r="29" spans="1:46" x14ac:dyDescent="0.25">
      <c r="A29" s="10"/>
      <c r="B29" s="289"/>
      <c r="C29" s="289"/>
      <c r="D29" s="16"/>
      <c r="E29" s="16"/>
      <c r="F29" s="16"/>
      <c r="G29" s="336"/>
      <c r="H29" s="336"/>
      <c r="I29" s="336"/>
      <c r="J29" s="336"/>
      <c r="K29" s="336"/>
      <c r="L29" s="337"/>
      <c r="M29" s="338"/>
      <c r="N29" s="338"/>
      <c r="O29" s="338"/>
      <c r="P29" s="338"/>
      <c r="Q29" s="273"/>
      <c r="R29" s="273"/>
      <c r="S29" s="273"/>
      <c r="T29" s="273"/>
      <c r="U29" s="273"/>
      <c r="V29" s="185"/>
      <c r="W29" s="85"/>
      <c r="X29" s="19"/>
      <c r="Y29" s="205"/>
      <c r="Z29" s="205"/>
      <c r="AA29" s="19"/>
      <c r="AB29" s="19"/>
      <c r="AC29" s="205"/>
      <c r="AD29" s="205"/>
      <c r="AE29" s="19"/>
      <c r="AF29" s="81"/>
      <c r="AG29" s="81"/>
      <c r="AH29" s="3"/>
      <c r="AI29" s="81"/>
      <c r="AJ29" s="81"/>
      <c r="AK29" s="3"/>
      <c r="AL29" s="3"/>
      <c r="AM29" s="3"/>
      <c r="AN29" s="71"/>
      <c r="AO29" s="212">
        <v>10</v>
      </c>
      <c r="AP29" s="1">
        <f>IF(AQ29&gt;0,W27*(H28+N28)/(G28+M28),0)</f>
        <v>0</v>
      </c>
      <c r="AQ29" s="185">
        <f>N28+H28</f>
        <v>0</v>
      </c>
      <c r="AR29" s="1"/>
      <c r="AS29" s="205"/>
      <c r="AT29" s="1"/>
    </row>
    <row r="30" spans="1:46" ht="45" x14ac:dyDescent="0.25">
      <c r="A30" s="21" t="s">
        <v>21</v>
      </c>
      <c r="B30" s="334">
        <f>SUM(B9:B28)</f>
        <v>1431.3600000000004</v>
      </c>
      <c r="C30" s="296">
        <f>SUM(C9:C28)</f>
        <v>3630900</v>
      </c>
      <c r="D30" s="56">
        <f>SUM(D11:D27)</f>
        <v>124</v>
      </c>
      <c r="E30" s="56">
        <f>SUM(E11:E27)</f>
        <v>94</v>
      </c>
      <c r="F30" s="56"/>
      <c r="G30" s="298"/>
      <c r="H30" s="298"/>
      <c r="I30" s="298"/>
      <c r="J30" s="298">
        <v>3</v>
      </c>
      <c r="K30" s="298">
        <v>5</v>
      </c>
      <c r="L30" s="6">
        <v>609</v>
      </c>
      <c r="M30" s="302"/>
      <c r="N30" s="302"/>
      <c r="O30" s="302"/>
      <c r="P30" s="302"/>
      <c r="Q30" s="302"/>
      <c r="R30" s="302"/>
      <c r="S30" s="278">
        <f>SUM(S11:S16,S19:S28)</f>
        <v>596</v>
      </c>
      <c r="T30" s="278">
        <v>3</v>
      </c>
      <c r="U30" s="278">
        <v>5</v>
      </c>
      <c r="V30" s="85">
        <f>SUM(V11:V16,V19:V28)</f>
        <v>596</v>
      </c>
      <c r="W30" s="85">
        <f>SUM(W11:W16,W19:W28)</f>
        <v>1192</v>
      </c>
      <c r="X30" s="92">
        <f>SUM(X11:X28)</f>
        <v>3032500</v>
      </c>
      <c r="Y30" s="83">
        <f t="shared" ref="Y30:AJ30" si="28">SUM(Y11:Y29)</f>
        <v>3</v>
      </c>
      <c r="Z30" s="83">
        <f t="shared" si="28"/>
        <v>3</v>
      </c>
      <c r="AA30" s="85">
        <f t="shared" si="28"/>
        <v>224400</v>
      </c>
      <c r="AB30" s="85">
        <f t="shared" si="28"/>
        <v>89760</v>
      </c>
      <c r="AC30" s="83">
        <f>SUM(AC9:AC29)</f>
        <v>0</v>
      </c>
      <c r="AD30" s="83">
        <f>SUM(AD9:AD29)</f>
        <v>0</v>
      </c>
      <c r="AE30" s="85">
        <f>SUM(AE9:AE29)</f>
        <v>0</v>
      </c>
      <c r="AF30" s="83">
        <f t="shared" si="28"/>
        <v>5</v>
      </c>
      <c r="AG30" s="83">
        <f t="shared" si="28"/>
        <v>5</v>
      </c>
      <c r="AH30" s="85">
        <f t="shared" si="28"/>
        <v>374000</v>
      </c>
      <c r="AI30" s="83">
        <f t="shared" si="28"/>
        <v>0</v>
      </c>
      <c r="AJ30" s="83">
        <f t="shared" si="28"/>
        <v>0</v>
      </c>
      <c r="AK30" s="85">
        <f>SUM(AK11:AK29)</f>
        <v>0</v>
      </c>
      <c r="AL30" s="24">
        <f>SUM(AL9:AL16,AL19:AL28)</f>
        <v>1431.3600000000004</v>
      </c>
      <c r="AM30" s="85">
        <f>X30+AH30+AK30+AA30+AE30</f>
        <v>3630900</v>
      </c>
      <c r="AN30" s="224" t="s">
        <v>220</v>
      </c>
      <c r="AO30" s="2">
        <f>SUM(AO11:AO28)</f>
        <v>34</v>
      </c>
      <c r="AP30" s="2">
        <f>SUM(AP11:AP28)</f>
        <v>332</v>
      </c>
      <c r="AQ30" s="58"/>
      <c r="AR30" s="2">
        <f>SUM(AR11:AR28)</f>
        <v>0</v>
      </c>
      <c r="AS30" s="81"/>
      <c r="AT30" s="2">
        <f>AT31/5</f>
        <v>220</v>
      </c>
    </row>
    <row r="31" spans="1:46" s="7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X31" s="5"/>
      <c r="Y31" s="5"/>
      <c r="Z31" s="5"/>
      <c r="AA31" s="5"/>
      <c r="AB31" s="5"/>
      <c r="AC31" s="5"/>
      <c r="AD31" s="5"/>
      <c r="AE31" s="5"/>
      <c r="AF31"/>
      <c r="AG31"/>
      <c r="AH31"/>
      <c r="AI31"/>
      <c r="AJ31"/>
      <c r="AK31"/>
      <c r="AL31"/>
      <c r="AM31"/>
      <c r="AN31" s="223" t="s">
        <v>219</v>
      </c>
      <c r="AO31" s="2">
        <f>SUM(AO11:AO28)*5</f>
        <v>170</v>
      </c>
      <c r="AP31" s="2">
        <f>SUM(AP11:AP28)*5</f>
        <v>1660</v>
      </c>
      <c r="AQ31" s="4">
        <f>SUM(AQ11:AQ28)</f>
        <v>26</v>
      </c>
      <c r="AR31" s="2">
        <f>SUM(AR11:AR28)*5</f>
        <v>0</v>
      </c>
      <c r="AS31" s="2">
        <f>SUM(AS11:AS28)</f>
        <v>0</v>
      </c>
      <c r="AT31" s="2">
        <f>AH30/G3</f>
        <v>1100</v>
      </c>
    </row>
    <row r="32" spans="1:46" ht="15.75" thickBot="1" x14ac:dyDescent="0.3">
      <c r="A32" s="40"/>
      <c r="B32" s="40"/>
      <c r="C32" s="40"/>
    </row>
    <row r="33" spans="1:27" ht="16.5" thickBot="1" x14ac:dyDescent="0.3">
      <c r="D33" s="369" t="s">
        <v>319</v>
      </c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1"/>
    </row>
    <row r="34" spans="1:27" x14ac:dyDescent="0.25">
      <c r="A34" s="252"/>
      <c r="B34" s="252"/>
      <c r="C34" s="252"/>
    </row>
    <row r="40" spans="1:27" x14ac:dyDescent="0.25">
      <c r="A40" s="17"/>
      <c r="B40" s="17"/>
      <c r="C40" s="17"/>
    </row>
  </sheetData>
  <sheetProtection algorithmName="SHA-512" hashValue="nc9tomHf6zckYd27Zunug/s31+E/zFJlASm4kE28CMe4erz7A7WdbfTKyIcnMLqyO5kReOe7DCbQ1oSGprqGvw==" saltValue="IV8KTGRekZaHJM1TPH9mVQ==" spinCount="100000" sheet="1" selectLockedCells="1"/>
  <customSheetViews>
    <customSheetView guid="{CB7E9FB3-C7A3-44DE-98E4-19C23B487785}" scale="80" fitToPage="1" hiddenRows="1" hiddenColumns="1">
      <pane xSplit="1" topLeftCell="B1" activePane="topRight" state="frozen"/>
      <selection pane="topRight" activeCell="G2" sqref="G2"/>
      <pageMargins left="0.25" right="0.25" top="0.75" bottom="0.75" header="0.3" footer="0.3"/>
      <pageSetup paperSize="8" scale="52" orientation="landscape" r:id="rId1"/>
      <headerFooter>
        <oddHeader>&amp;C&amp;14 4. &amp;"-,Fet"studieår</oddHeader>
      </headerFooter>
    </customSheetView>
    <customSheetView guid="{0F10E6D6-430E-4539-8602-E1FCB30ABD1B}" scale="80" fitToPage="1" hiddenRows="1" hiddenColumns="1">
      <pane xSplit="1" topLeftCell="B1" activePane="topRight" state="frozen"/>
      <selection pane="topRight" activeCell="D1" sqref="D1"/>
      <pageMargins left="0.25" right="0.25" top="0.75" bottom="0.75" header="0.3" footer="0.3"/>
      <pageSetup paperSize="8" scale="52" orientation="landscape" r:id="rId2"/>
      <headerFooter>
        <oddHeader>&amp;C&amp;14 4. &amp;"-,Fet"studieår</oddHeader>
      </headerFooter>
    </customSheetView>
    <customSheetView guid="{6A1E5DF8-D380-4588-9B84-662BAE41D0D9}" scale="80" fitToPage="1" hiddenRows="1" hiddenColumns="1" topLeftCell="A7">
      <pane xSplit="1" topLeftCell="B1" activePane="topRight" state="frozen"/>
      <selection pane="topRight" activeCell="E20" sqref="E20"/>
      <pageMargins left="0.25" right="0.25" top="0.75" bottom="0.75" header="0.3" footer="0.3"/>
      <pageSetup paperSize="8" scale="52" orientation="landscape" r:id="rId3"/>
      <headerFooter>
        <oddHeader>&amp;C&amp;14 4. &amp;"-,Fet"studieår</oddHeader>
      </headerFooter>
    </customSheetView>
    <customSheetView guid="{C3BF634C-AA16-4BD6-93CF-AD12048346B7}" scale="80" fitToPage="1" hiddenRows="1" hiddenColumns="1">
      <pane xSplit="1" topLeftCell="B1" activePane="topRight" state="frozen"/>
      <selection pane="topRight" activeCell="G3" sqref="G3"/>
      <pageMargins left="0.25" right="0.25" top="0.75" bottom="0.75" header="0.3" footer="0.3"/>
      <pageSetup paperSize="8" scale="52" orientation="landscape" r:id="rId4"/>
      <headerFooter>
        <oddHeader>&amp;C&amp;14 4. &amp;"-,Fet"studieår</oddHeader>
      </headerFooter>
    </customSheetView>
    <customSheetView guid="{2A2C752C-8C42-4F9A-A40C-FE7F7014F210}" fitToPage="1" hiddenColumns="1">
      <pane xSplit="1" topLeftCell="W1" activePane="topRight" state="frozen"/>
      <selection pane="topRight" activeCell="AM7" sqref="AM7"/>
      <pageMargins left="0.25" right="0.25" top="0.75" bottom="0.75" header="0.3" footer="0.3"/>
      <pageSetup paperSize="8" scale="52" orientation="landscape" r:id="rId5"/>
      <headerFooter>
        <oddHeader>&amp;C&amp;14 4. &amp;"-,Fet"studieår</oddHeader>
      </headerFooter>
    </customSheetView>
    <customSheetView guid="{AC2983A2-F978-40B7-A196-35F34E705157}" scale="110" fitToPage="1" hiddenColumns="1">
      <pane xSplit="1" topLeftCell="D1" activePane="topRight" state="frozen"/>
      <selection pane="topRight" activeCell="D29" sqref="D29"/>
      <pageMargins left="0.25" right="0.25" top="0.75" bottom="0.75" header="0.3" footer="0.3"/>
      <pageSetup paperSize="8" scale="52" orientation="landscape" r:id="rId6"/>
      <headerFooter>
        <oddHeader>&amp;C&amp;14 4. &amp;"-,Fet"studieår</oddHeader>
      </headerFooter>
    </customSheetView>
    <customSheetView guid="{749D43A3-052D-442F-AE88-F6CCB83A1282}" scale="90" fitToPage="1" hiddenColumns="1" topLeftCell="A5">
      <pane xSplit="1" topLeftCell="N1" activePane="topRight" state="frozen"/>
      <selection pane="topRight" activeCell="W15" sqref="W15"/>
      <pageMargins left="0.70866141732283472" right="0.70866141732283472" top="0.78740157480314965" bottom="0.78740157480314965" header="0.31496062992125984" footer="0.31496062992125984"/>
      <pageSetup paperSize="9" scale="88" orientation="landscape" r:id="rId7"/>
      <headerFooter>
        <oddHeader>&amp;C&amp;14 4. &amp;"-,Fet"studieår</oddHeader>
      </headerFooter>
    </customSheetView>
    <customSheetView guid="{F38A39FA-EF57-4062-A2AD-F3BEB88C5762}" fitToPage="1" hiddenColumns="1">
      <selection activeCell="H15" sqref="H15"/>
      <pageMargins left="0.70866141732283472" right="0.70866141732283472" top="0.78740157480314965" bottom="0.78740157480314965" header="0.31496062992125984" footer="0.31496062992125984"/>
      <pageSetup paperSize="9" scale="88" orientation="landscape" r:id="rId8"/>
      <headerFooter>
        <oddHeader>&amp;C&amp;14 4. &amp;"-,Fet"studieår</oddHeader>
      </headerFooter>
    </customSheetView>
    <customSheetView guid="{83C69039-3E29-46E1-85FB-B9165E0BFA91}" fitToPage="1" hiddenColumns="1">
      <selection activeCell="N12" sqref="N12"/>
      <pageMargins left="0.70866141732283472" right="0.70866141732283472" top="0.78740157480314965" bottom="0.78740157480314965" header="0.31496062992125984" footer="0.31496062992125984"/>
      <pageSetup paperSize="9" scale="47" orientation="landscape" r:id="rId9"/>
      <headerFooter>
        <oddHeader>&amp;C&amp;14 4. &amp;"-,Fet"studieår</oddHeader>
      </headerFooter>
    </customSheetView>
    <customSheetView guid="{C1FECEF4-D739-4F39-9B89-CF4C04A77A9B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10"/>
      <headerFooter>
        <oddHeader>&amp;C&amp;14 4. &amp;"-,Fet"studieår</oddHeader>
      </headerFooter>
    </customSheetView>
    <customSheetView guid="{91227156-ECBD-48FD-8964-78F3608400FC}" fitToPage="1" hiddenRows="1" hiddenColumns="1" topLeftCell="F9">
      <selection activeCell="S31" sqref="S31"/>
      <pageMargins left="0.70866141732283472" right="0.70866141732283472" top="0.78740157480314965" bottom="0.78740157480314965" header="0.31496062992125984" footer="0.31496062992125984"/>
      <pageSetup paperSize="9" scale="88" orientation="landscape" r:id="rId11"/>
      <headerFooter>
        <oddHeader>&amp;C&amp;14 4. &amp;"-,Fet"studieår</oddHeader>
      </headerFooter>
    </customSheetView>
    <customSheetView guid="{B76C0EA9-E79B-4DA2-9ADE-66DB47109F8F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12"/>
      <headerFooter>
        <oddHeader>&amp;C&amp;14 4. &amp;"-,Fet"studieår</oddHeader>
      </headerFooter>
    </customSheetView>
    <customSheetView guid="{726FF687-50E0-4F8A-BCCB-6DA9E6D367D4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13"/>
      <headerFooter>
        <oddHeader>&amp;C&amp;14 4. &amp;"-,Fet"studieår</oddHeader>
      </headerFooter>
    </customSheetView>
    <customSheetView guid="{BB9ED292-532F-438C-A4A6-F8D66D70E0E7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14"/>
      <headerFooter>
        <oddHeader>&amp;C&amp;14 4. &amp;"-,Fet"studieår</oddHeader>
      </headerFooter>
    </customSheetView>
    <customSheetView guid="{7AE955BB-7BF8-4CA4-ABF1-6A0BB53A48AD}" fitToPage="1" hiddenRows="1" hiddenColumns="1" topLeftCell="H1">
      <selection activeCell="AA13" sqref="AA13"/>
      <pageMargins left="0.70866141732283472" right="0.70866141732283472" top="0.78740157480314965" bottom="0.78740157480314965" header="0.31496062992125984" footer="0.31496062992125984"/>
      <pageSetup paperSize="9" scale="88" orientation="landscape" r:id="rId15"/>
      <headerFooter>
        <oddHeader>&amp;C&amp;14 4. &amp;"-,Fet"studieår</oddHeader>
      </headerFooter>
    </customSheetView>
    <customSheetView guid="{43EFFC0A-CCC0-43DD-A273-4AF58757EC00}" fitToPage="1" hiddenColumns="1">
      <selection activeCell="H15" sqref="H15"/>
      <pageMargins left="0.70866141732283472" right="0.70866141732283472" top="0.78740157480314965" bottom="0.78740157480314965" header="0.31496062992125984" footer="0.31496062992125984"/>
      <pageSetup paperSize="9" scale="88" orientation="landscape" r:id="rId16"/>
      <headerFooter>
        <oddHeader>&amp;C&amp;14 4. &amp;"-,Fet"studieår</oddHeader>
      </headerFooter>
    </customSheetView>
    <customSheetView guid="{E5349645-7714-4437-B9BC-26ED822E5BC5}" scale="90" fitToPage="1" hiddenColumns="1">
      <pane xSplit="1" topLeftCell="B1" activePane="topRight" state="frozen"/>
      <selection pane="topRight" activeCell="E27" sqref="E27"/>
      <pageMargins left="0.25" right="0.25" top="0.75" bottom="0.75" header="0.3" footer="0.3"/>
      <pageSetup paperSize="9" scale="36" orientation="landscape" r:id="rId17"/>
      <headerFooter>
        <oddHeader>&amp;C&amp;14 4. &amp;"-,Fet"studieår</oddHeader>
      </headerFooter>
    </customSheetView>
    <customSheetView guid="{46AB9545-8BEE-4A2F-B820-9F80AC24A11B}" scale="90" fitToPage="1" hiddenColumns="1">
      <pane xSplit="1" topLeftCell="C1" activePane="topRight" state="frozen"/>
      <selection pane="topRight" activeCell="Y10" sqref="Y10"/>
      <pageMargins left="0.25" right="0.25" top="0.75" bottom="0.75" header="0.3" footer="0.3"/>
      <pageSetup paperSize="8" scale="52" orientation="landscape" r:id="rId18"/>
      <headerFooter>
        <oddHeader>&amp;C&amp;14 4. &amp;"-,Fet"studieår</oddHeader>
      </headerFooter>
    </customSheetView>
    <customSheetView guid="{F727610F-D041-4412-A81F-AFD013C44971}" scale="90" fitToPage="1" hiddenColumns="1">
      <pane xSplit="1" topLeftCell="H1" activePane="topRight" state="frozen"/>
      <selection pane="topRight" activeCell="L23" sqref="L23"/>
      <pageMargins left="0.25" right="0.25" top="0.75" bottom="0.75" header="0.3" footer="0.3"/>
      <pageSetup paperSize="8" scale="52" orientation="landscape" r:id="rId19"/>
      <headerFooter>
        <oddHeader>&amp;C&amp;14 4. &amp;"-,Fet"studieår</oddHeader>
      </headerFooter>
    </customSheetView>
    <customSheetView guid="{F170D8DF-3539-4353-BD8B-1F5EB452DAE5}" scale="112" fitToPage="1" hiddenColumns="1">
      <pane xSplit="1" topLeftCell="D1" activePane="topRight" state="frozen"/>
      <selection pane="topRight" activeCell="M15" sqref="M15"/>
      <pageMargins left="0.25" right="0.25" top="0.75" bottom="0.75" header="0.3" footer="0.3"/>
      <pageSetup paperSize="8" scale="52" orientation="landscape" r:id="rId20"/>
      <headerFooter>
        <oddHeader>&amp;C&amp;14 4. &amp;"-,Fet"studieår</oddHeader>
      </headerFooter>
    </customSheetView>
    <customSheetView guid="{1283C6B5-B05C-447B-8854-CDB081C03FD4}" scale="80" fitToPage="1" hiddenColumns="1" topLeftCell="A7">
      <pane xSplit="1" topLeftCell="B1" activePane="topRight" state="frozen"/>
      <selection pane="topRight" activeCell="D22" sqref="D22"/>
      <pageMargins left="0.25" right="0.25" top="0.75" bottom="0.75" header="0.3" footer="0.3"/>
      <pageSetup paperSize="8" scale="52" orientation="landscape" r:id="rId21"/>
      <headerFooter>
        <oddHeader>&amp;C&amp;14 4. &amp;"-,Fet"studieår</oddHeader>
      </headerFooter>
    </customSheetView>
    <customSheetView guid="{37BC2192-ABF8-4439-93C4-8E65E7EF90F5}" scale="70" fitToPage="1" hiddenColumns="1" topLeftCell="A4">
      <pane xSplit="1" topLeftCell="B1" activePane="topRight" state="frozen"/>
      <selection pane="topRight" activeCell="S10" sqref="S10:S11"/>
      <pageMargins left="0.25" right="0.25" top="0.75" bottom="0.75" header="0.3" footer="0.3"/>
      <pageSetup paperSize="8" scale="52" orientation="landscape" r:id="rId22"/>
      <headerFooter>
        <oddHeader>&amp;C&amp;14 4. &amp;"-,Fet"studieår</oddHeader>
      </headerFooter>
    </customSheetView>
    <customSheetView guid="{7084DC93-B2BE-4098-87E1-DAC5FBCE0E0A}" scale="70" fitToPage="1" hiddenColumns="1" topLeftCell="A5">
      <pane xSplit="1" topLeftCell="B1" activePane="topRight" state="frozen"/>
      <selection pane="topRight" activeCell="S10" sqref="S10:S11"/>
      <pageMargins left="0.25" right="0.25" top="0.75" bottom="0.75" header="0.3" footer="0.3"/>
      <pageSetup paperSize="8" scale="52" orientation="landscape" r:id="rId23"/>
      <headerFooter>
        <oddHeader>&amp;C&amp;14 4. &amp;"-,Fet"studieår</oddHeader>
      </headerFooter>
    </customSheetView>
    <customSheetView guid="{0E885D9C-CD7C-4655-8709-41793617E0A7}" scale="80" fitToPage="1" hiddenRows="1" hiddenColumns="1">
      <pane xSplit="1" topLeftCell="B1" activePane="topRight" state="frozen"/>
      <selection pane="topRight" activeCell="D28" sqref="D28"/>
      <pageMargins left="0.25" right="0.25" top="0.75" bottom="0.75" header="0.3" footer="0.3"/>
      <pageSetup paperSize="8" scale="52" orientation="landscape" r:id="rId24"/>
      <headerFooter>
        <oddHeader>&amp;C&amp;14 4. &amp;"-,Fet"studieår</oddHeader>
      </headerFooter>
    </customSheetView>
    <customSheetView guid="{B711C9DF-E741-4A27-9293-4E9F012F3AC0}" scale="80" fitToPage="1" hiddenRows="1" hiddenColumns="1">
      <pane xSplit="1" topLeftCell="B1" activePane="topRight" state="frozen"/>
      <selection pane="topRight" activeCell="D28" sqref="D28"/>
      <pageMargins left="0.25" right="0.25" top="0.75" bottom="0.75" header="0.3" footer="0.3"/>
      <pageSetup paperSize="8" scale="52" orientation="landscape" r:id="rId25"/>
      <headerFooter>
        <oddHeader>&amp;C&amp;14 4. &amp;"-,Fet"studieår</oddHeader>
      </headerFooter>
    </customSheetView>
    <customSheetView guid="{1241DC17-BD41-46C5-9DB1-684763A09F24}" scale="80" fitToPage="1" hiddenRows="1" hiddenColumns="1">
      <pane xSplit="1" topLeftCell="B1" activePane="topRight" state="frozen"/>
      <selection pane="topRight" activeCell="D1" sqref="D1"/>
      <pageMargins left="0.25" right="0.25" top="0.75" bottom="0.75" header="0.3" footer="0.3"/>
      <pageSetup paperSize="8" scale="52" orientation="landscape" r:id="rId26"/>
      <headerFooter>
        <oddHeader>&amp;C&amp;14 4. &amp;"-,Fet"studieår</oddHeader>
      </headerFooter>
    </customSheetView>
  </customSheetViews>
  <mergeCells count="5">
    <mergeCell ref="AO3:AT3"/>
    <mergeCell ref="D5:X5"/>
    <mergeCell ref="AO6:AT6"/>
    <mergeCell ref="AR7:AS7"/>
    <mergeCell ref="D33:AA33"/>
  </mergeCells>
  <pageMargins left="0.25" right="0.25" top="0.75" bottom="0.75" header="0.3" footer="0.3"/>
  <pageSetup paperSize="8" scale="52" orientation="landscape" r:id="rId27"/>
  <headerFooter>
    <oddHeader>&amp;C&amp;14 4. &amp;"-,Fet"studieår</oddHeader>
  </headerFooter>
  <legacyDrawing r:id="rId28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9"/>
  <sheetViews>
    <sheetView zoomScaleNormal="100" workbookViewId="0">
      <selection activeCell="B6" sqref="B6"/>
    </sheetView>
  </sheetViews>
  <sheetFormatPr baseColWidth="10" defaultColWidth="11.42578125" defaultRowHeight="15" x14ac:dyDescent="0.25"/>
  <cols>
    <col min="1" max="1" width="32.140625" style="99" bestFit="1" customWidth="1"/>
    <col min="2" max="2" width="13.42578125" customWidth="1"/>
    <col min="3" max="3" width="11.5703125" customWidth="1"/>
    <col min="4" max="4" width="13.42578125" customWidth="1"/>
    <col min="5" max="6" width="13" customWidth="1"/>
    <col min="7" max="7" width="15.140625" bestFit="1" customWidth="1"/>
    <col min="8" max="8" width="8.42578125" hidden="1" customWidth="1"/>
    <col min="9" max="253" width="9.140625" customWidth="1"/>
  </cols>
  <sheetData>
    <row r="1" spans="1:8" ht="30" x14ac:dyDescent="0.25">
      <c r="B1" s="340" t="s">
        <v>5</v>
      </c>
      <c r="C1" s="339"/>
    </row>
    <row r="2" spans="1:8" x14ac:dyDescent="0.25">
      <c r="A2"/>
      <c r="B2" s="341">
        <v>2500</v>
      </c>
      <c r="F2" t="s">
        <v>288</v>
      </c>
    </row>
    <row r="3" spans="1:8" x14ac:dyDescent="0.25">
      <c r="A3"/>
      <c r="F3" s="253">
        <v>0.12</v>
      </c>
    </row>
    <row r="4" spans="1:8" ht="16.5" thickBot="1" x14ac:dyDescent="0.3">
      <c r="A4" s="97"/>
      <c r="B4" s="395" t="s">
        <v>131</v>
      </c>
      <c r="C4" s="396"/>
      <c r="D4" s="397"/>
      <c r="E4" s="96"/>
    </row>
    <row r="5" spans="1:8" ht="60" x14ac:dyDescent="0.25">
      <c r="A5" s="48" t="s">
        <v>1</v>
      </c>
      <c r="B5" s="104" t="s">
        <v>52</v>
      </c>
      <c r="C5" s="104" t="s">
        <v>53</v>
      </c>
      <c r="D5" s="55" t="s">
        <v>43</v>
      </c>
      <c r="E5" s="54" t="s">
        <v>235</v>
      </c>
      <c r="F5" s="105" t="s">
        <v>287</v>
      </c>
      <c r="G5" s="136" t="s">
        <v>32</v>
      </c>
      <c r="H5" s="136" t="s">
        <v>107</v>
      </c>
    </row>
    <row r="6" spans="1:8" x14ac:dyDescent="0.25">
      <c r="A6" s="98" t="s">
        <v>65</v>
      </c>
      <c r="B6" s="205">
        <v>20</v>
      </c>
      <c r="C6" s="207">
        <v>0</v>
      </c>
      <c r="D6" s="1">
        <f>SUM(B6:C6)</f>
        <v>20</v>
      </c>
      <c r="E6" s="3">
        <f>D6*$B$2</f>
        <v>50000</v>
      </c>
      <c r="F6" s="254"/>
      <c r="G6" s="1">
        <f t="shared" ref="G6:G37" si="0">E6*F6</f>
        <v>0</v>
      </c>
      <c r="H6" s="1">
        <f>F6/5</f>
        <v>0</v>
      </c>
    </row>
    <row r="7" spans="1:8" x14ac:dyDescent="0.25">
      <c r="A7" s="98" t="s">
        <v>66</v>
      </c>
      <c r="B7" s="205">
        <v>20</v>
      </c>
      <c r="C7" s="205">
        <v>20</v>
      </c>
      <c r="D7" s="1">
        <f t="shared" ref="D7:D61" si="1">SUM(B7:C7)</f>
        <v>40</v>
      </c>
      <c r="E7" s="3">
        <f t="shared" ref="E7:E61" si="2">D7*$B$2</f>
        <v>100000</v>
      </c>
      <c r="F7" s="254"/>
      <c r="G7" s="1">
        <f t="shared" si="0"/>
        <v>0</v>
      </c>
      <c r="H7" s="1">
        <f t="shared" ref="H7:H61" si="3">F7/5</f>
        <v>0</v>
      </c>
    </row>
    <row r="8" spans="1:8" x14ac:dyDescent="0.25">
      <c r="A8" s="98" t="s">
        <v>67</v>
      </c>
      <c r="B8" s="205">
        <v>30</v>
      </c>
      <c r="C8" s="205"/>
      <c r="D8" s="1">
        <f t="shared" si="1"/>
        <v>30</v>
      </c>
      <c r="E8" s="3">
        <f t="shared" si="2"/>
        <v>75000</v>
      </c>
      <c r="F8" s="254"/>
      <c r="G8" s="1">
        <f t="shared" si="0"/>
        <v>0</v>
      </c>
      <c r="H8" s="1">
        <f t="shared" si="3"/>
        <v>0</v>
      </c>
    </row>
    <row r="9" spans="1:8" x14ac:dyDescent="0.25">
      <c r="A9" s="98" t="s">
        <v>68</v>
      </c>
      <c r="B9" s="205">
        <v>30</v>
      </c>
      <c r="C9" s="205"/>
      <c r="D9" s="1">
        <f t="shared" si="1"/>
        <v>30</v>
      </c>
      <c r="E9" s="3">
        <f t="shared" si="2"/>
        <v>75000</v>
      </c>
      <c r="F9" s="254"/>
      <c r="G9" s="1">
        <f t="shared" si="0"/>
        <v>0</v>
      </c>
      <c r="H9" s="1">
        <f t="shared" si="3"/>
        <v>0</v>
      </c>
    </row>
    <row r="10" spans="1:8" x14ac:dyDescent="0.25">
      <c r="A10" s="98" t="s">
        <v>69</v>
      </c>
      <c r="B10" s="205">
        <v>20</v>
      </c>
      <c r="C10" s="205"/>
      <c r="D10" s="1">
        <f t="shared" si="1"/>
        <v>20</v>
      </c>
      <c r="E10" s="3">
        <f t="shared" si="2"/>
        <v>50000</v>
      </c>
      <c r="F10" s="254"/>
      <c r="G10" s="1">
        <f t="shared" si="0"/>
        <v>0</v>
      </c>
      <c r="H10" s="1">
        <f t="shared" si="3"/>
        <v>0</v>
      </c>
    </row>
    <row r="11" spans="1:8" x14ac:dyDescent="0.25">
      <c r="A11" s="98" t="s">
        <v>285</v>
      </c>
      <c r="B11" s="205">
        <v>20</v>
      </c>
      <c r="C11" s="205"/>
      <c r="D11" s="1">
        <f t="shared" si="1"/>
        <v>20</v>
      </c>
      <c r="E11" s="3">
        <f t="shared" si="2"/>
        <v>50000</v>
      </c>
      <c r="F11" s="254"/>
      <c r="G11" s="1">
        <f t="shared" si="0"/>
        <v>0</v>
      </c>
      <c r="H11" s="1">
        <f t="shared" si="3"/>
        <v>0</v>
      </c>
    </row>
    <row r="12" spans="1:8" x14ac:dyDescent="0.25">
      <c r="A12" s="98" t="s">
        <v>286</v>
      </c>
      <c r="B12" s="205"/>
      <c r="C12" s="205">
        <v>30</v>
      </c>
      <c r="D12" s="1">
        <f t="shared" si="1"/>
        <v>30</v>
      </c>
      <c r="E12" s="3">
        <f t="shared" si="2"/>
        <v>75000</v>
      </c>
      <c r="F12" s="254">
        <v>0.66666666666666663</v>
      </c>
      <c r="G12" s="255">
        <f t="shared" si="0"/>
        <v>50000</v>
      </c>
      <c r="H12" s="1"/>
    </row>
    <row r="13" spans="1:8" x14ac:dyDescent="0.25">
      <c r="A13" s="98" t="s">
        <v>279</v>
      </c>
      <c r="B13" s="207">
        <v>20</v>
      </c>
      <c r="C13" s="207"/>
      <c r="D13" s="153">
        <f t="shared" si="1"/>
        <v>20</v>
      </c>
      <c r="E13" s="3">
        <f t="shared" si="2"/>
        <v>50000</v>
      </c>
      <c r="F13" s="254"/>
      <c r="G13" s="1">
        <f t="shared" si="0"/>
        <v>0</v>
      </c>
      <c r="H13" s="1">
        <f t="shared" si="3"/>
        <v>0</v>
      </c>
    </row>
    <row r="14" spans="1:8" x14ac:dyDescent="0.25">
      <c r="A14" s="98" t="s">
        <v>70</v>
      </c>
      <c r="B14" s="207"/>
      <c r="C14" s="207"/>
      <c r="D14" s="153">
        <f t="shared" si="1"/>
        <v>0</v>
      </c>
      <c r="E14" s="3">
        <f t="shared" si="2"/>
        <v>0</v>
      </c>
      <c r="F14" s="254"/>
      <c r="G14" s="1">
        <f t="shared" si="0"/>
        <v>0</v>
      </c>
      <c r="H14" s="1">
        <f t="shared" si="3"/>
        <v>0</v>
      </c>
    </row>
    <row r="15" spans="1:8" x14ac:dyDescent="0.25">
      <c r="A15" s="98" t="s">
        <v>71</v>
      </c>
      <c r="B15" s="207">
        <v>20</v>
      </c>
      <c r="C15" s="207"/>
      <c r="D15" s="153">
        <f t="shared" si="1"/>
        <v>20</v>
      </c>
      <c r="E15" s="3">
        <f t="shared" si="2"/>
        <v>50000</v>
      </c>
      <c r="F15" s="254"/>
      <c r="G15" s="1">
        <f t="shared" si="0"/>
        <v>0</v>
      </c>
      <c r="H15" s="1">
        <f t="shared" si="3"/>
        <v>0</v>
      </c>
    </row>
    <row r="16" spans="1:8" x14ac:dyDescent="0.25">
      <c r="A16" s="98" t="s">
        <v>72</v>
      </c>
      <c r="B16" s="207">
        <v>20</v>
      </c>
      <c r="C16" s="207"/>
      <c r="D16" s="153">
        <f t="shared" si="1"/>
        <v>20</v>
      </c>
      <c r="E16" s="3">
        <f t="shared" si="2"/>
        <v>50000</v>
      </c>
      <c r="F16" s="254"/>
      <c r="G16" s="1">
        <f t="shared" si="0"/>
        <v>0</v>
      </c>
      <c r="H16" s="1">
        <f t="shared" si="3"/>
        <v>0</v>
      </c>
    </row>
    <row r="17" spans="1:8" x14ac:dyDescent="0.25">
      <c r="A17" s="98" t="s">
        <v>73</v>
      </c>
      <c r="B17" s="207">
        <v>4</v>
      </c>
      <c r="C17" s="207"/>
      <c r="D17" s="153">
        <f t="shared" si="1"/>
        <v>4</v>
      </c>
      <c r="E17" s="3">
        <f t="shared" si="2"/>
        <v>10000</v>
      </c>
      <c r="F17" s="254"/>
      <c r="G17" s="1">
        <f t="shared" si="0"/>
        <v>0</v>
      </c>
      <c r="H17" s="1">
        <f t="shared" si="3"/>
        <v>0</v>
      </c>
    </row>
    <row r="18" spans="1:8" x14ac:dyDescent="0.25">
      <c r="A18" s="98" t="s">
        <v>127</v>
      </c>
      <c r="B18" s="207">
        <v>0</v>
      </c>
      <c r="C18" s="207"/>
      <c r="D18" s="153">
        <f t="shared" si="1"/>
        <v>0</v>
      </c>
      <c r="E18" s="3">
        <f t="shared" si="2"/>
        <v>0</v>
      </c>
      <c r="F18" s="254"/>
      <c r="G18" s="1">
        <f t="shared" si="0"/>
        <v>0</v>
      </c>
      <c r="H18" s="1">
        <f t="shared" si="3"/>
        <v>0</v>
      </c>
    </row>
    <row r="19" spans="1:8" x14ac:dyDescent="0.25">
      <c r="A19" s="98" t="s">
        <v>74</v>
      </c>
      <c r="B19" s="207">
        <v>20</v>
      </c>
      <c r="C19" s="207"/>
      <c r="D19" s="153">
        <f t="shared" si="1"/>
        <v>20</v>
      </c>
      <c r="E19" s="3">
        <f t="shared" si="2"/>
        <v>50000</v>
      </c>
      <c r="F19" s="254"/>
      <c r="G19" s="1">
        <f t="shared" si="0"/>
        <v>0</v>
      </c>
      <c r="H19" s="1">
        <f t="shared" si="3"/>
        <v>0</v>
      </c>
    </row>
    <row r="20" spans="1:8" x14ac:dyDescent="0.25">
      <c r="A20" s="98" t="s">
        <v>75</v>
      </c>
      <c r="B20" s="207">
        <v>30</v>
      </c>
      <c r="C20" s="207"/>
      <c r="D20" s="153">
        <f t="shared" si="1"/>
        <v>30</v>
      </c>
      <c r="E20" s="3">
        <f t="shared" si="2"/>
        <v>75000</v>
      </c>
      <c r="F20" s="254"/>
      <c r="G20" s="1">
        <f t="shared" si="0"/>
        <v>0</v>
      </c>
      <c r="H20" s="1">
        <f t="shared" si="3"/>
        <v>0</v>
      </c>
    </row>
    <row r="21" spans="1:8" x14ac:dyDescent="0.25">
      <c r="A21" s="98" t="s">
        <v>76</v>
      </c>
      <c r="B21" s="207">
        <v>20</v>
      </c>
      <c r="C21" s="207">
        <v>20</v>
      </c>
      <c r="D21" s="153">
        <f t="shared" si="1"/>
        <v>40</v>
      </c>
      <c r="E21" s="3">
        <f t="shared" si="2"/>
        <v>100000</v>
      </c>
      <c r="F21" s="254"/>
      <c r="G21" s="1">
        <f t="shared" si="0"/>
        <v>0</v>
      </c>
      <c r="H21" s="1">
        <f t="shared" si="3"/>
        <v>0</v>
      </c>
    </row>
    <row r="22" spans="1:8" ht="18.75" customHeight="1" x14ac:dyDescent="0.25">
      <c r="A22" s="98" t="s">
        <v>77</v>
      </c>
      <c r="B22" s="207">
        <v>0</v>
      </c>
      <c r="C22" s="207"/>
      <c r="D22" s="153">
        <f t="shared" si="1"/>
        <v>0</v>
      </c>
      <c r="E22" s="3">
        <f t="shared" si="2"/>
        <v>0</v>
      </c>
      <c r="F22" s="254"/>
      <c r="G22" s="1">
        <f t="shared" si="0"/>
        <v>0</v>
      </c>
      <c r="H22" s="1">
        <f t="shared" si="3"/>
        <v>0</v>
      </c>
    </row>
    <row r="23" spans="1:8" ht="19.5" customHeight="1" x14ac:dyDescent="0.25">
      <c r="A23" s="98" t="s">
        <v>78</v>
      </c>
      <c r="B23" s="207"/>
      <c r="C23" s="207">
        <v>30</v>
      </c>
      <c r="D23" s="153">
        <f t="shared" si="1"/>
        <v>30</v>
      </c>
      <c r="E23" s="3">
        <f t="shared" si="2"/>
        <v>75000</v>
      </c>
      <c r="F23" s="254"/>
      <c r="G23" s="1">
        <f t="shared" si="0"/>
        <v>0</v>
      </c>
      <c r="H23" s="1">
        <f t="shared" si="3"/>
        <v>0</v>
      </c>
    </row>
    <row r="24" spans="1:8" x14ac:dyDescent="0.25">
      <c r="A24" s="98" t="s">
        <v>79</v>
      </c>
      <c r="B24" s="207"/>
      <c r="C24" s="207">
        <v>20</v>
      </c>
      <c r="D24" s="153">
        <f t="shared" si="1"/>
        <v>20</v>
      </c>
      <c r="E24" s="3">
        <f t="shared" si="2"/>
        <v>50000</v>
      </c>
      <c r="F24" s="254"/>
      <c r="G24" s="1">
        <f t="shared" si="0"/>
        <v>0</v>
      </c>
      <c r="H24" s="1">
        <f t="shared" si="3"/>
        <v>0</v>
      </c>
    </row>
    <row r="25" spans="1:8" x14ac:dyDescent="0.25">
      <c r="A25" s="98" t="s">
        <v>80</v>
      </c>
      <c r="B25" s="207"/>
      <c r="C25" s="207">
        <v>30</v>
      </c>
      <c r="D25" s="153">
        <f t="shared" si="1"/>
        <v>30</v>
      </c>
      <c r="E25" s="3">
        <f t="shared" si="2"/>
        <v>75000</v>
      </c>
      <c r="F25" s="254"/>
      <c r="G25" s="1">
        <f t="shared" si="0"/>
        <v>0</v>
      </c>
      <c r="H25" s="1">
        <f t="shared" si="3"/>
        <v>0</v>
      </c>
    </row>
    <row r="26" spans="1:8" x14ac:dyDescent="0.25">
      <c r="A26" s="98" t="s">
        <v>81</v>
      </c>
      <c r="B26" s="207"/>
      <c r="C26" s="207">
        <v>20</v>
      </c>
      <c r="D26" s="153">
        <f t="shared" si="1"/>
        <v>20</v>
      </c>
      <c r="E26" s="3">
        <f t="shared" si="2"/>
        <v>50000</v>
      </c>
      <c r="F26" s="254"/>
      <c r="G26" s="1">
        <f t="shared" si="0"/>
        <v>0</v>
      </c>
      <c r="H26" s="1">
        <f t="shared" si="3"/>
        <v>0</v>
      </c>
    </row>
    <row r="27" spans="1:8" x14ac:dyDescent="0.25">
      <c r="A27" s="98" t="s">
        <v>162</v>
      </c>
      <c r="B27" s="207"/>
      <c r="C27" s="207">
        <v>20</v>
      </c>
      <c r="D27" s="153">
        <f>SUM(B27:C27)</f>
        <v>20</v>
      </c>
      <c r="E27" s="3">
        <f>D27*$B$2</f>
        <v>50000</v>
      </c>
      <c r="F27" s="254"/>
      <c r="G27" s="1">
        <f t="shared" si="0"/>
        <v>0</v>
      </c>
      <c r="H27" s="1"/>
    </row>
    <row r="28" spans="1:8" x14ac:dyDescent="0.25">
      <c r="A28" s="98" t="s">
        <v>128</v>
      </c>
      <c r="B28" s="207">
        <v>0</v>
      </c>
      <c r="C28" s="207">
        <v>0</v>
      </c>
      <c r="D28" s="153">
        <f t="shared" si="1"/>
        <v>0</v>
      </c>
      <c r="E28" s="3">
        <f t="shared" si="2"/>
        <v>0</v>
      </c>
      <c r="F28" s="254"/>
      <c r="G28" s="1">
        <f t="shared" si="0"/>
        <v>0</v>
      </c>
      <c r="H28" s="1">
        <f t="shared" si="3"/>
        <v>0</v>
      </c>
    </row>
    <row r="29" spans="1:8" x14ac:dyDescent="0.25">
      <c r="A29" s="98" t="s">
        <v>82</v>
      </c>
      <c r="B29" s="207"/>
      <c r="C29" s="207">
        <v>20</v>
      </c>
      <c r="D29" s="153">
        <f t="shared" si="1"/>
        <v>20</v>
      </c>
      <c r="E29" s="3">
        <f t="shared" si="2"/>
        <v>50000</v>
      </c>
      <c r="F29" s="254"/>
      <c r="G29" s="1">
        <f t="shared" si="0"/>
        <v>0</v>
      </c>
      <c r="H29" s="1">
        <f t="shared" si="3"/>
        <v>0</v>
      </c>
    </row>
    <row r="30" spans="1:8" x14ac:dyDescent="0.25">
      <c r="A30" s="98" t="s">
        <v>278</v>
      </c>
      <c r="B30" s="207"/>
      <c r="C30" s="207">
        <v>20</v>
      </c>
      <c r="D30" s="153">
        <f t="shared" si="1"/>
        <v>20</v>
      </c>
      <c r="E30" s="3">
        <f t="shared" si="2"/>
        <v>50000</v>
      </c>
      <c r="F30" s="254"/>
      <c r="G30" s="1">
        <f t="shared" si="0"/>
        <v>0</v>
      </c>
      <c r="H30" s="1">
        <f t="shared" si="3"/>
        <v>0</v>
      </c>
    </row>
    <row r="31" spans="1:8" x14ac:dyDescent="0.25">
      <c r="A31" s="98" t="s">
        <v>161</v>
      </c>
      <c r="B31" s="207"/>
      <c r="C31" s="207">
        <v>20</v>
      </c>
      <c r="D31" s="153">
        <f>SUM(B31:C31)</f>
        <v>20</v>
      </c>
      <c r="E31" s="3">
        <f>D31*$B$2</f>
        <v>50000</v>
      </c>
      <c r="F31" s="254"/>
      <c r="G31" s="1">
        <f t="shared" si="0"/>
        <v>0</v>
      </c>
      <c r="H31" s="1"/>
    </row>
    <row r="32" spans="1:8" x14ac:dyDescent="0.25">
      <c r="A32" s="98" t="s">
        <v>83</v>
      </c>
      <c r="B32" s="207"/>
      <c r="C32" s="207">
        <v>0</v>
      </c>
      <c r="D32" s="153">
        <f t="shared" si="1"/>
        <v>0</v>
      </c>
      <c r="E32" s="3">
        <f t="shared" si="2"/>
        <v>0</v>
      </c>
      <c r="F32" s="254"/>
      <c r="G32" s="1">
        <f t="shared" si="0"/>
        <v>0</v>
      </c>
      <c r="H32" s="1">
        <f t="shared" si="3"/>
        <v>0</v>
      </c>
    </row>
    <row r="33" spans="1:8" x14ac:dyDescent="0.25">
      <c r="A33" s="98" t="s">
        <v>84</v>
      </c>
      <c r="B33" s="207"/>
      <c r="C33" s="207">
        <v>0</v>
      </c>
      <c r="D33" s="153">
        <f t="shared" si="1"/>
        <v>0</v>
      </c>
      <c r="E33" s="3">
        <f t="shared" si="2"/>
        <v>0</v>
      </c>
      <c r="F33" s="254"/>
      <c r="G33" s="1">
        <f t="shared" si="0"/>
        <v>0</v>
      </c>
      <c r="H33" s="1">
        <f t="shared" si="3"/>
        <v>0</v>
      </c>
    </row>
    <row r="34" spans="1:8" x14ac:dyDescent="0.25">
      <c r="A34" s="98" t="s">
        <v>85</v>
      </c>
      <c r="B34" s="207"/>
      <c r="C34" s="207">
        <v>20</v>
      </c>
      <c r="D34" s="153">
        <f t="shared" si="1"/>
        <v>20</v>
      </c>
      <c r="E34" s="3">
        <f t="shared" si="2"/>
        <v>50000</v>
      </c>
      <c r="F34" s="254"/>
      <c r="G34" s="1">
        <f t="shared" si="0"/>
        <v>0</v>
      </c>
      <c r="H34" s="1">
        <f t="shared" si="3"/>
        <v>0</v>
      </c>
    </row>
    <row r="35" spans="1:8" x14ac:dyDescent="0.25">
      <c r="A35" s="98" t="s">
        <v>86</v>
      </c>
      <c r="B35" s="207"/>
      <c r="C35" s="207">
        <v>30</v>
      </c>
      <c r="D35" s="153">
        <f t="shared" si="1"/>
        <v>30</v>
      </c>
      <c r="E35" s="3">
        <f t="shared" si="2"/>
        <v>75000</v>
      </c>
      <c r="F35" s="254"/>
      <c r="G35" s="1">
        <f t="shared" si="0"/>
        <v>0</v>
      </c>
      <c r="H35" s="1">
        <f t="shared" si="3"/>
        <v>0</v>
      </c>
    </row>
    <row r="36" spans="1:8" x14ac:dyDescent="0.25">
      <c r="A36" s="98" t="s">
        <v>65</v>
      </c>
      <c r="B36" s="207">
        <v>20</v>
      </c>
      <c r="C36" s="207">
        <v>0</v>
      </c>
      <c r="D36" s="153">
        <f t="shared" si="1"/>
        <v>20</v>
      </c>
      <c r="E36" s="3">
        <f t="shared" si="2"/>
        <v>50000</v>
      </c>
      <c r="F36" s="254"/>
      <c r="G36" s="1">
        <f t="shared" si="0"/>
        <v>0</v>
      </c>
      <c r="H36" s="1">
        <f t="shared" si="3"/>
        <v>0</v>
      </c>
    </row>
    <row r="37" spans="1:8" x14ac:dyDescent="0.25">
      <c r="A37" s="98" t="s">
        <v>76</v>
      </c>
      <c r="B37" s="207"/>
      <c r="C37" s="207">
        <v>20</v>
      </c>
      <c r="D37" s="153">
        <f t="shared" si="1"/>
        <v>20</v>
      </c>
      <c r="E37" s="3">
        <f t="shared" si="2"/>
        <v>50000</v>
      </c>
      <c r="F37" s="254"/>
      <c r="G37" s="1">
        <f t="shared" si="0"/>
        <v>0</v>
      </c>
      <c r="H37" s="1">
        <f t="shared" si="3"/>
        <v>0</v>
      </c>
    </row>
    <row r="38" spans="1:8" x14ac:dyDescent="0.25">
      <c r="A38" s="98" t="s">
        <v>214</v>
      </c>
      <c r="B38" s="207">
        <v>4</v>
      </c>
      <c r="C38" s="207"/>
      <c r="D38" s="153">
        <f>SUM(B38:C38)</f>
        <v>4</v>
      </c>
      <c r="E38" s="3">
        <f>D38*$B$2</f>
        <v>10000</v>
      </c>
      <c r="F38" s="254"/>
      <c r="G38" s="1">
        <f t="shared" ref="G38:G69" si="4">E38*F38</f>
        <v>0</v>
      </c>
      <c r="H38" s="1">
        <f>F38/5</f>
        <v>0</v>
      </c>
    </row>
    <row r="39" spans="1:8" x14ac:dyDescent="0.25">
      <c r="A39" s="98" t="s">
        <v>215</v>
      </c>
      <c r="B39" s="207">
        <v>30</v>
      </c>
      <c r="C39" s="207"/>
      <c r="D39" s="153">
        <f>SUM(B39:C39)</f>
        <v>30</v>
      </c>
      <c r="E39" s="3">
        <f>D39*$B$2</f>
        <v>75000</v>
      </c>
      <c r="F39" s="254"/>
      <c r="G39" s="1">
        <f t="shared" si="4"/>
        <v>0</v>
      </c>
      <c r="H39" s="1">
        <f>F39/5</f>
        <v>0</v>
      </c>
    </row>
    <row r="40" spans="1:8" x14ac:dyDescent="0.25">
      <c r="A40" s="98" t="s">
        <v>216</v>
      </c>
      <c r="B40" s="207"/>
      <c r="C40" s="207">
        <v>20</v>
      </c>
      <c r="D40" s="153">
        <f>SUM(B40:C40)</f>
        <v>20</v>
      </c>
      <c r="E40" s="3">
        <f>D40*$B$2</f>
        <v>50000</v>
      </c>
      <c r="F40" s="254"/>
      <c r="G40" s="1">
        <f t="shared" si="4"/>
        <v>0</v>
      </c>
      <c r="H40" s="1">
        <f>F40/5</f>
        <v>0</v>
      </c>
    </row>
    <row r="41" spans="1:8" x14ac:dyDescent="0.25">
      <c r="A41" s="98" t="s">
        <v>226</v>
      </c>
      <c r="B41" s="207"/>
      <c r="C41" s="207">
        <v>30</v>
      </c>
      <c r="D41" s="153">
        <f>SUM(B41:C41)</f>
        <v>30</v>
      </c>
      <c r="E41" s="3">
        <f>D41*$B$2</f>
        <v>75000</v>
      </c>
      <c r="F41" s="254"/>
      <c r="G41" s="1">
        <f t="shared" si="4"/>
        <v>0</v>
      </c>
      <c r="H41" s="1"/>
    </row>
    <row r="42" spans="1:8" x14ac:dyDescent="0.25">
      <c r="A42" s="98" t="s">
        <v>217</v>
      </c>
      <c r="B42" s="207"/>
      <c r="C42" s="207">
        <v>20</v>
      </c>
      <c r="D42" s="153">
        <f>SUM(B42:C42)</f>
        <v>20</v>
      </c>
      <c r="E42" s="3">
        <f>D42*$B$2</f>
        <v>50000</v>
      </c>
      <c r="F42" s="254"/>
      <c r="G42" s="1">
        <f t="shared" si="4"/>
        <v>0</v>
      </c>
      <c r="H42" s="1">
        <f>F42/5</f>
        <v>0</v>
      </c>
    </row>
    <row r="43" spans="1:8" x14ac:dyDescent="0.25">
      <c r="A43" s="108" t="s">
        <v>87</v>
      </c>
      <c r="B43" s="207"/>
      <c r="C43" s="207"/>
      <c r="D43" s="153"/>
      <c r="E43" s="3"/>
      <c r="F43" s="254"/>
      <c r="G43" s="1">
        <f t="shared" si="4"/>
        <v>0</v>
      </c>
      <c r="H43" s="1">
        <f t="shared" si="3"/>
        <v>0</v>
      </c>
    </row>
    <row r="44" spans="1:8" x14ac:dyDescent="0.25">
      <c r="A44" s="98" t="s">
        <v>88</v>
      </c>
      <c r="B44" s="207">
        <v>22</v>
      </c>
      <c r="C44" s="207"/>
      <c r="D44" s="153">
        <f t="shared" si="1"/>
        <v>22</v>
      </c>
      <c r="E44" s="3">
        <f t="shared" si="2"/>
        <v>55000</v>
      </c>
      <c r="F44" s="254"/>
      <c r="G44" s="1">
        <f t="shared" si="4"/>
        <v>0</v>
      </c>
      <c r="H44" s="1">
        <f t="shared" si="3"/>
        <v>0</v>
      </c>
    </row>
    <row r="45" spans="1:8" x14ac:dyDescent="0.25">
      <c r="A45" s="98" t="s">
        <v>129</v>
      </c>
      <c r="B45" s="207">
        <v>22</v>
      </c>
      <c r="C45" s="207"/>
      <c r="D45" s="153">
        <f t="shared" si="1"/>
        <v>22</v>
      </c>
      <c r="E45" s="3">
        <f t="shared" si="2"/>
        <v>55000</v>
      </c>
      <c r="F45" s="254"/>
      <c r="G45" s="1">
        <f t="shared" si="4"/>
        <v>0</v>
      </c>
      <c r="H45" s="1">
        <f t="shared" si="3"/>
        <v>0</v>
      </c>
    </row>
    <row r="46" spans="1:8" ht="30" x14ac:dyDescent="0.25">
      <c r="A46" s="98" t="s">
        <v>234</v>
      </c>
      <c r="B46" s="207">
        <v>22</v>
      </c>
      <c r="C46" s="207"/>
      <c r="D46" s="153">
        <f t="shared" si="1"/>
        <v>22</v>
      </c>
      <c r="E46" s="3">
        <f t="shared" si="2"/>
        <v>55000</v>
      </c>
      <c r="F46" s="254"/>
      <c r="G46" s="1">
        <f t="shared" si="4"/>
        <v>0</v>
      </c>
      <c r="H46" s="1">
        <f t="shared" si="3"/>
        <v>0</v>
      </c>
    </row>
    <row r="47" spans="1:8" x14ac:dyDescent="0.25">
      <c r="A47" s="98" t="s">
        <v>224</v>
      </c>
      <c r="B47" s="207">
        <v>22</v>
      </c>
      <c r="C47" s="207"/>
      <c r="D47" s="153">
        <f t="shared" si="1"/>
        <v>22</v>
      </c>
      <c r="E47" s="3">
        <f t="shared" si="2"/>
        <v>55000</v>
      </c>
      <c r="F47" s="254"/>
      <c r="G47" s="1">
        <f t="shared" si="4"/>
        <v>0</v>
      </c>
      <c r="H47" s="1">
        <f t="shared" si="3"/>
        <v>0</v>
      </c>
    </row>
    <row r="48" spans="1:8" ht="30" x14ac:dyDescent="0.25">
      <c r="A48" s="98" t="s">
        <v>245</v>
      </c>
      <c r="B48" s="207"/>
      <c r="C48" s="207">
        <v>22</v>
      </c>
      <c r="D48" s="153">
        <f t="shared" si="1"/>
        <v>22</v>
      </c>
      <c r="E48" s="3">
        <f t="shared" si="2"/>
        <v>55000</v>
      </c>
      <c r="F48" s="254"/>
      <c r="G48" s="1">
        <f t="shared" si="4"/>
        <v>0</v>
      </c>
      <c r="H48" s="1"/>
    </row>
    <row r="49" spans="1:8" ht="30" x14ac:dyDescent="0.25">
      <c r="A49" s="98" t="s">
        <v>89</v>
      </c>
      <c r="B49" s="207">
        <v>0</v>
      </c>
      <c r="C49" s="207">
        <v>22</v>
      </c>
      <c r="D49" s="153">
        <f t="shared" si="1"/>
        <v>22</v>
      </c>
      <c r="E49" s="3">
        <f t="shared" si="2"/>
        <v>55000</v>
      </c>
      <c r="F49" s="254"/>
      <c r="G49" s="1">
        <f t="shared" si="4"/>
        <v>0</v>
      </c>
      <c r="H49" s="1">
        <f t="shared" si="3"/>
        <v>0</v>
      </c>
    </row>
    <row r="50" spans="1:8" x14ac:dyDescent="0.25">
      <c r="A50" s="98" t="s">
        <v>90</v>
      </c>
      <c r="B50" s="207">
        <v>22</v>
      </c>
      <c r="C50" s="207"/>
      <c r="D50" s="153">
        <f t="shared" si="1"/>
        <v>22</v>
      </c>
      <c r="E50" s="3">
        <f t="shared" si="2"/>
        <v>55000</v>
      </c>
      <c r="F50" s="254"/>
      <c r="G50" s="1">
        <f t="shared" si="4"/>
        <v>0</v>
      </c>
      <c r="H50" s="1">
        <f t="shared" si="3"/>
        <v>0</v>
      </c>
    </row>
    <row r="51" spans="1:8" ht="30" x14ac:dyDescent="0.25">
      <c r="A51" s="98" t="s">
        <v>98</v>
      </c>
      <c r="B51" s="207">
        <v>22</v>
      </c>
      <c r="C51" s="207"/>
      <c r="D51" s="153">
        <f t="shared" si="1"/>
        <v>22</v>
      </c>
      <c r="E51" s="3">
        <f t="shared" si="2"/>
        <v>55000</v>
      </c>
      <c r="F51" s="254"/>
      <c r="G51" s="1">
        <f t="shared" si="4"/>
        <v>0</v>
      </c>
      <c r="H51" s="1"/>
    </row>
    <row r="52" spans="1:8" x14ac:dyDescent="0.25">
      <c r="A52" s="98" t="s">
        <v>91</v>
      </c>
      <c r="B52" s="207">
        <v>22</v>
      </c>
      <c r="C52" s="207"/>
      <c r="D52" s="153">
        <f t="shared" si="1"/>
        <v>22</v>
      </c>
      <c r="E52" s="3">
        <f t="shared" si="2"/>
        <v>55000</v>
      </c>
      <c r="F52" s="254"/>
      <c r="G52" s="1">
        <f t="shared" si="4"/>
        <v>0</v>
      </c>
      <c r="H52" s="1">
        <f t="shared" si="3"/>
        <v>0</v>
      </c>
    </row>
    <row r="53" spans="1:8" x14ac:dyDescent="0.25">
      <c r="A53" s="98" t="s">
        <v>92</v>
      </c>
      <c r="B53" s="207">
        <v>22</v>
      </c>
      <c r="C53" s="207"/>
      <c r="D53" s="153">
        <f t="shared" si="1"/>
        <v>22</v>
      </c>
      <c r="E53" s="3">
        <f t="shared" si="2"/>
        <v>55000</v>
      </c>
      <c r="F53" s="254"/>
      <c r="G53" s="1">
        <f t="shared" si="4"/>
        <v>0</v>
      </c>
      <c r="H53" s="1">
        <f t="shared" si="3"/>
        <v>0</v>
      </c>
    </row>
    <row r="54" spans="1:8" x14ac:dyDescent="0.25">
      <c r="A54" s="98" t="s">
        <v>93</v>
      </c>
      <c r="B54" s="207">
        <v>22</v>
      </c>
      <c r="C54" s="207"/>
      <c r="D54" s="153">
        <f t="shared" si="1"/>
        <v>22</v>
      </c>
      <c r="E54" s="3">
        <f t="shared" si="2"/>
        <v>55000</v>
      </c>
      <c r="F54" s="254"/>
      <c r="G54" s="1">
        <f t="shared" si="4"/>
        <v>0</v>
      </c>
      <c r="H54" s="1">
        <f t="shared" si="3"/>
        <v>0</v>
      </c>
    </row>
    <row r="55" spans="1:8" x14ac:dyDescent="0.25">
      <c r="A55" s="98" t="s">
        <v>280</v>
      </c>
      <c r="B55" s="207">
        <v>22</v>
      </c>
      <c r="C55" s="207"/>
      <c r="D55" s="153">
        <f t="shared" si="1"/>
        <v>22</v>
      </c>
      <c r="E55" s="3">
        <f t="shared" si="2"/>
        <v>55000</v>
      </c>
      <c r="F55" s="254"/>
      <c r="G55" s="1">
        <f t="shared" si="4"/>
        <v>0</v>
      </c>
      <c r="H55" s="1"/>
    </row>
    <row r="56" spans="1:8" ht="30" x14ac:dyDescent="0.25">
      <c r="A56" s="98" t="s">
        <v>94</v>
      </c>
      <c r="B56" s="207">
        <v>30</v>
      </c>
      <c r="C56" s="207"/>
      <c r="D56" s="153">
        <f t="shared" si="1"/>
        <v>30</v>
      </c>
      <c r="E56" s="3">
        <f t="shared" si="2"/>
        <v>75000</v>
      </c>
      <c r="F56" s="254"/>
      <c r="G56" s="1">
        <f t="shared" si="4"/>
        <v>0</v>
      </c>
      <c r="H56" s="1">
        <f t="shared" si="3"/>
        <v>0</v>
      </c>
    </row>
    <row r="57" spans="1:8" x14ac:dyDescent="0.25">
      <c r="A57" s="98" t="s">
        <v>95</v>
      </c>
      <c r="B57" s="207">
        <v>22</v>
      </c>
      <c r="C57" s="207"/>
      <c r="D57" s="153">
        <f t="shared" si="1"/>
        <v>22</v>
      </c>
      <c r="E57" s="3">
        <f t="shared" si="2"/>
        <v>55000</v>
      </c>
      <c r="F57" s="254"/>
      <c r="G57" s="1">
        <f t="shared" si="4"/>
        <v>0</v>
      </c>
      <c r="H57" s="1">
        <f t="shared" si="3"/>
        <v>0</v>
      </c>
    </row>
    <row r="58" spans="1:8" x14ac:dyDescent="0.25">
      <c r="A58" s="98" t="s">
        <v>96</v>
      </c>
      <c r="B58" s="207">
        <v>22</v>
      </c>
      <c r="C58" s="207"/>
      <c r="D58" s="153">
        <f t="shared" si="1"/>
        <v>22</v>
      </c>
      <c r="E58" s="3">
        <f t="shared" si="2"/>
        <v>55000</v>
      </c>
      <c r="F58" s="254"/>
      <c r="G58" s="1">
        <f t="shared" si="4"/>
        <v>0</v>
      </c>
      <c r="H58" s="1">
        <f t="shared" si="3"/>
        <v>0</v>
      </c>
    </row>
    <row r="59" spans="1:8" ht="30" x14ac:dyDescent="0.25">
      <c r="A59" s="98" t="s">
        <v>97</v>
      </c>
      <c r="B59" s="207">
        <v>0</v>
      </c>
      <c r="C59" s="207"/>
      <c r="D59" s="153">
        <f t="shared" si="1"/>
        <v>0</v>
      </c>
      <c r="E59" s="3">
        <f t="shared" si="2"/>
        <v>0</v>
      </c>
      <c r="F59" s="254"/>
      <c r="G59" s="1">
        <f t="shared" si="4"/>
        <v>0</v>
      </c>
      <c r="H59" s="1">
        <f t="shared" si="3"/>
        <v>0</v>
      </c>
    </row>
    <row r="60" spans="1:8" x14ac:dyDescent="0.25">
      <c r="A60" s="98" t="s">
        <v>195</v>
      </c>
      <c r="B60" s="207"/>
      <c r="C60" s="207">
        <v>30</v>
      </c>
      <c r="D60" s="153">
        <f t="shared" si="1"/>
        <v>30</v>
      </c>
      <c r="E60" s="3">
        <f t="shared" si="2"/>
        <v>75000</v>
      </c>
      <c r="F60" s="254"/>
      <c r="G60" s="1">
        <f t="shared" si="4"/>
        <v>0</v>
      </c>
      <c r="H60" s="1">
        <f t="shared" si="3"/>
        <v>0</v>
      </c>
    </row>
    <row r="61" spans="1:8" x14ac:dyDescent="0.25">
      <c r="A61" s="98" t="s">
        <v>233</v>
      </c>
      <c r="B61" s="207"/>
      <c r="C61" s="207">
        <v>22</v>
      </c>
      <c r="D61" s="153">
        <f t="shared" si="1"/>
        <v>22</v>
      </c>
      <c r="E61" s="3">
        <f t="shared" si="2"/>
        <v>55000</v>
      </c>
      <c r="F61" s="254"/>
      <c r="G61" s="1">
        <f t="shared" si="4"/>
        <v>0</v>
      </c>
      <c r="H61" s="1">
        <f t="shared" si="3"/>
        <v>0</v>
      </c>
    </row>
    <row r="62" spans="1:8" x14ac:dyDescent="0.25">
      <c r="A62" s="98" t="s">
        <v>99</v>
      </c>
      <c r="B62" s="207"/>
      <c r="C62" s="207">
        <v>22</v>
      </c>
      <c r="D62" s="153">
        <f t="shared" ref="D62:D75" si="5">SUM(B62:C62)</f>
        <v>22</v>
      </c>
      <c r="E62" s="3">
        <f t="shared" ref="E62:E74" si="6">D62*$B$2</f>
        <v>55000</v>
      </c>
      <c r="F62" s="254"/>
      <c r="G62" s="1">
        <f t="shared" si="4"/>
        <v>0</v>
      </c>
      <c r="H62" s="1">
        <f t="shared" ref="H62:H69" si="7">F62/5</f>
        <v>0</v>
      </c>
    </row>
    <row r="63" spans="1:8" x14ac:dyDescent="0.25">
      <c r="A63" s="98" t="s">
        <v>100</v>
      </c>
      <c r="B63" s="207"/>
      <c r="C63" s="207">
        <v>22</v>
      </c>
      <c r="D63" s="153">
        <f t="shared" si="5"/>
        <v>22</v>
      </c>
      <c r="E63" s="3">
        <f t="shared" si="6"/>
        <v>55000</v>
      </c>
      <c r="F63" s="254"/>
      <c r="G63" s="1">
        <f t="shared" si="4"/>
        <v>0</v>
      </c>
      <c r="H63" s="1">
        <f t="shared" si="7"/>
        <v>0</v>
      </c>
    </row>
    <row r="64" spans="1:8" ht="30" x14ac:dyDescent="0.25">
      <c r="A64" s="98" t="s">
        <v>101</v>
      </c>
      <c r="B64" s="207"/>
      <c r="C64" s="207">
        <v>22</v>
      </c>
      <c r="D64" s="153">
        <f t="shared" si="5"/>
        <v>22</v>
      </c>
      <c r="E64" s="3">
        <f t="shared" si="6"/>
        <v>55000</v>
      </c>
      <c r="F64" s="254"/>
      <c r="G64" s="1">
        <f t="shared" si="4"/>
        <v>0</v>
      </c>
      <c r="H64" s="1">
        <f t="shared" si="7"/>
        <v>0</v>
      </c>
    </row>
    <row r="65" spans="1:8" x14ac:dyDescent="0.25">
      <c r="A65" s="98" t="s">
        <v>102</v>
      </c>
      <c r="B65" s="207"/>
      <c r="C65" s="207">
        <v>30</v>
      </c>
      <c r="D65" s="153">
        <f t="shared" si="5"/>
        <v>30</v>
      </c>
      <c r="E65" s="3">
        <f t="shared" si="6"/>
        <v>75000</v>
      </c>
      <c r="F65" s="254"/>
      <c r="G65" s="1">
        <f t="shared" si="4"/>
        <v>0</v>
      </c>
      <c r="H65" s="1">
        <f t="shared" si="7"/>
        <v>0</v>
      </c>
    </row>
    <row r="66" spans="1:8" x14ac:dyDescent="0.25">
      <c r="A66" s="98" t="s">
        <v>103</v>
      </c>
      <c r="B66" s="207"/>
      <c r="C66" s="207">
        <v>22</v>
      </c>
      <c r="D66" s="153">
        <f t="shared" si="5"/>
        <v>22</v>
      </c>
      <c r="E66" s="3">
        <f t="shared" si="6"/>
        <v>55000</v>
      </c>
      <c r="F66" s="254"/>
      <c r="G66" s="1">
        <f t="shared" si="4"/>
        <v>0</v>
      </c>
      <c r="H66" s="1">
        <f t="shared" si="7"/>
        <v>0</v>
      </c>
    </row>
    <row r="67" spans="1:8" x14ac:dyDescent="0.25">
      <c r="A67" s="98" t="s">
        <v>104</v>
      </c>
      <c r="B67" s="207"/>
      <c r="C67" s="207">
        <v>22</v>
      </c>
      <c r="D67" s="153">
        <f t="shared" si="5"/>
        <v>22</v>
      </c>
      <c r="E67" s="3">
        <f t="shared" si="6"/>
        <v>55000</v>
      </c>
      <c r="F67" s="254"/>
      <c r="G67" s="1">
        <f t="shared" si="4"/>
        <v>0</v>
      </c>
      <c r="H67" s="1">
        <f t="shared" si="7"/>
        <v>0</v>
      </c>
    </row>
    <row r="68" spans="1:8" ht="30" x14ac:dyDescent="0.25">
      <c r="A68" s="98" t="s">
        <v>105</v>
      </c>
      <c r="B68" s="207"/>
      <c r="C68" s="207">
        <v>22</v>
      </c>
      <c r="D68" s="153">
        <f t="shared" si="5"/>
        <v>22</v>
      </c>
      <c r="E68" s="3">
        <f t="shared" si="6"/>
        <v>55000</v>
      </c>
      <c r="F68" s="254"/>
      <c r="G68" s="1">
        <f t="shared" si="4"/>
        <v>0</v>
      </c>
      <c r="H68" s="1">
        <f t="shared" si="7"/>
        <v>0</v>
      </c>
    </row>
    <row r="69" spans="1:8" x14ac:dyDescent="0.25">
      <c r="A69" s="98" t="s">
        <v>106</v>
      </c>
      <c r="B69" s="205"/>
      <c r="C69" s="205">
        <v>22</v>
      </c>
      <c r="D69" s="1">
        <f t="shared" si="5"/>
        <v>22</v>
      </c>
      <c r="E69" s="3">
        <f t="shared" si="6"/>
        <v>55000</v>
      </c>
      <c r="F69" s="254"/>
      <c r="G69" s="1">
        <f t="shared" si="4"/>
        <v>0</v>
      </c>
      <c r="H69" s="1">
        <f t="shared" si="7"/>
        <v>0</v>
      </c>
    </row>
    <row r="70" spans="1:8" ht="30" x14ac:dyDescent="0.25">
      <c r="A70" s="98" t="s">
        <v>130</v>
      </c>
      <c r="B70" s="207"/>
      <c r="C70" s="207">
        <v>22</v>
      </c>
      <c r="D70" s="1">
        <f t="shared" si="5"/>
        <v>22</v>
      </c>
      <c r="E70" s="3">
        <f>D70*$B$2</f>
        <v>55000</v>
      </c>
      <c r="F70" s="254"/>
      <c r="G70" s="1">
        <f t="shared" ref="G70:G75" si="8">E70*F70</f>
        <v>0</v>
      </c>
      <c r="H70" s="1">
        <f>F70/5</f>
        <v>0</v>
      </c>
    </row>
    <row r="71" spans="1:8" ht="30" x14ac:dyDescent="0.25">
      <c r="A71" s="98" t="s">
        <v>181</v>
      </c>
      <c r="B71" s="205"/>
      <c r="C71" s="205">
        <v>0</v>
      </c>
      <c r="D71" s="1">
        <f t="shared" si="5"/>
        <v>0</v>
      </c>
      <c r="E71" s="3">
        <f t="shared" si="6"/>
        <v>0</v>
      </c>
      <c r="F71" s="254"/>
      <c r="G71" s="1">
        <f t="shared" si="8"/>
        <v>0</v>
      </c>
      <c r="H71" s="1"/>
    </row>
    <row r="72" spans="1:8" ht="30" x14ac:dyDescent="0.25">
      <c r="A72" s="98" t="s">
        <v>182</v>
      </c>
      <c r="B72" s="205"/>
      <c r="C72" s="205">
        <v>22</v>
      </c>
      <c r="D72" s="1">
        <f t="shared" si="5"/>
        <v>22</v>
      </c>
      <c r="E72" s="3">
        <f t="shared" si="6"/>
        <v>55000</v>
      </c>
      <c r="F72" s="254"/>
      <c r="G72" s="1">
        <f t="shared" si="8"/>
        <v>0</v>
      </c>
      <c r="H72" s="1"/>
    </row>
    <row r="73" spans="1:8" x14ac:dyDescent="0.25">
      <c r="A73" s="98" t="s">
        <v>212</v>
      </c>
      <c r="B73" s="205">
        <v>36</v>
      </c>
      <c r="C73" s="205">
        <v>36</v>
      </c>
      <c r="D73" s="1">
        <f t="shared" si="5"/>
        <v>72</v>
      </c>
      <c r="E73" s="3">
        <f t="shared" si="6"/>
        <v>180000</v>
      </c>
      <c r="F73" s="254"/>
      <c r="G73" s="1">
        <f t="shared" si="8"/>
        <v>0</v>
      </c>
      <c r="H73" s="1"/>
    </row>
    <row r="74" spans="1:8" ht="30" x14ac:dyDescent="0.25">
      <c r="A74" s="98" t="s">
        <v>213</v>
      </c>
      <c r="B74" s="205">
        <v>6</v>
      </c>
      <c r="C74" s="205">
        <v>6</v>
      </c>
      <c r="D74" s="1">
        <f t="shared" si="5"/>
        <v>12</v>
      </c>
      <c r="E74" s="3">
        <f t="shared" si="6"/>
        <v>30000</v>
      </c>
      <c r="F74" s="254"/>
      <c r="G74" s="1">
        <f t="shared" si="8"/>
        <v>0</v>
      </c>
      <c r="H74" s="1"/>
    </row>
    <row r="75" spans="1:8" x14ac:dyDescent="0.25">
      <c r="A75" s="98" t="s">
        <v>237</v>
      </c>
      <c r="B75" s="205">
        <v>0</v>
      </c>
      <c r="C75" s="205">
        <v>200</v>
      </c>
      <c r="D75" s="1">
        <f t="shared" si="5"/>
        <v>200</v>
      </c>
      <c r="E75" s="3">
        <f>D75*$B$2*-1</f>
        <v>-500000</v>
      </c>
      <c r="F75" s="254"/>
      <c r="G75" s="1">
        <f t="shared" si="8"/>
        <v>0</v>
      </c>
      <c r="H75" s="1"/>
    </row>
    <row r="76" spans="1:8" s="100" customFormat="1" ht="18.75" x14ac:dyDescent="0.3">
      <c r="A76" s="101" t="s">
        <v>31</v>
      </c>
      <c r="B76" s="103">
        <f>SUM(B6:B74)</f>
        <v>664</v>
      </c>
      <c r="C76" s="103">
        <f>SUM(C6:C75)</f>
        <v>956</v>
      </c>
      <c r="D76" s="103">
        <f>SUM(D6:D75)</f>
        <v>1620</v>
      </c>
      <c r="E76" s="103">
        <f>SUM(E6:E75)</f>
        <v>3050000</v>
      </c>
      <c r="F76" s="256">
        <f>(D76-D12)*F3+D12*F12</f>
        <v>210.79999999999998</v>
      </c>
      <c r="G76" s="243">
        <f>F76*B2</f>
        <v>527000</v>
      </c>
      <c r="H76" s="102">
        <f>SUM(H6:H69)</f>
        <v>0</v>
      </c>
    </row>
    <row r="78" spans="1:8" x14ac:dyDescent="0.25">
      <c r="A78" s="99" t="s">
        <v>281</v>
      </c>
      <c r="H78" s="81"/>
    </row>
    <row r="79" spans="1:8" x14ac:dyDescent="0.25">
      <c r="A79" t="s">
        <v>282</v>
      </c>
    </row>
  </sheetData>
  <sheetProtection algorithmName="SHA-512" hashValue="4ZAYJS+E6NR2HXfgeiM1k32Qgm/K6+wmHWgAWDANeT5KzuxuJ+0i27g22I3pQJOp4p6S1hibNXicU0y/q+M9RQ==" saltValue="M58b0ThPHfBDV11chp4kKg==" spinCount="100000" sheet="1" objects="1" scenarios="1" selectLockedCells="1"/>
  <customSheetViews>
    <customSheetView guid="{CB7E9FB3-C7A3-44DE-98E4-19C23B487785}" hiddenColumns="1">
      <selection activeCell="B6" sqref="B6"/>
      <pageMargins left="0.7" right="0.7" top="0.75" bottom="0.75" header="0.3" footer="0.3"/>
      <pageSetup paperSize="9" orientation="portrait" r:id="rId1"/>
    </customSheetView>
    <customSheetView guid="{0F10E6D6-430E-4539-8602-E1FCB30ABD1B}" hiddenColumns="1">
      <selection activeCell="B43" sqref="B43"/>
      <pageMargins left="0.7" right="0.7" top="0.75" bottom="0.75" header="0.3" footer="0.3"/>
      <pageSetup paperSize="9" orientation="portrait" r:id="rId2"/>
    </customSheetView>
    <customSheetView guid="{6A1E5DF8-D380-4588-9B84-662BAE41D0D9}" hiddenColumns="1">
      <selection activeCell="B6" sqref="B6"/>
      <pageMargins left="0.7" right="0.7" top="0.75" bottom="0.75" header="0.3" footer="0.3"/>
      <pageSetup paperSize="9" orientation="portrait" r:id="rId3"/>
    </customSheetView>
    <customSheetView guid="{C3BF634C-AA16-4BD6-93CF-AD12048346B7}" hiddenColumns="1">
      <selection activeCell="B6" sqref="B6"/>
      <pageMargins left="0.7" right="0.7" top="0.75" bottom="0.75" header="0.3" footer="0.3"/>
      <pageSetup paperSize="9" orientation="portrait" r:id="rId4"/>
    </customSheetView>
    <customSheetView guid="{2A2C752C-8C42-4F9A-A40C-FE7F7014F210}" hiddenColumns="1" topLeftCell="A2">
      <selection activeCell="D2" sqref="D2"/>
      <pageMargins left="0.7" right="0.7" top="0.75" bottom="0.75" header="0.3" footer="0.3"/>
      <pageSetup paperSize="9" orientation="portrait" r:id="rId5"/>
    </customSheetView>
    <customSheetView guid="{AC2983A2-F978-40B7-A196-35F34E705157}" scale="120" hiddenColumns="1" topLeftCell="A2">
      <selection activeCell="D2" sqref="D2"/>
      <pageMargins left="0.7" right="0.7" top="0.75" bottom="0.75" header="0.3" footer="0.3"/>
      <pageSetup paperSize="9" orientation="portrait" r:id="rId6"/>
    </customSheetView>
    <customSheetView guid="{749D43A3-052D-442F-AE88-F6CCB83A1282}" topLeftCell="A60">
      <selection activeCell="D92" sqref="D92:E92"/>
      <pageMargins left="0.7" right="0.7" top="0.75" bottom="0.75" header="0.3" footer="0.3"/>
      <pageSetup paperSize="9" orientation="portrait" r:id="rId7"/>
    </customSheetView>
    <customSheetView guid="{F38A39FA-EF57-4062-A2AD-F3BEB88C5762}">
      <selection activeCell="E71" sqref="E71"/>
      <pageMargins left="0.7" right="0.7" top="0.75" bottom="0.75" header="0.3" footer="0.3"/>
      <pageSetup paperSize="9" orientation="portrait" r:id="rId8"/>
    </customSheetView>
    <customSheetView guid="{83C69039-3E29-46E1-85FB-B9165E0BFA91}" topLeftCell="A16">
      <selection activeCell="J83" sqref="J83"/>
      <pageMargins left="0.7" right="0.7" top="0.75" bottom="0.75" header="0.3" footer="0.3"/>
      <pageSetup paperSize="9" orientation="portrait" r:id="rId9"/>
    </customSheetView>
    <customSheetView guid="{C1FECEF4-D739-4F39-9B89-CF4C04A77A9B}" showPageBreaks="1" topLeftCell="A29">
      <selection activeCell="A72" sqref="A72"/>
      <pageMargins left="0.7" right="0.7" top="0.75" bottom="0.75" header="0.3" footer="0.3"/>
      <pageSetup paperSize="9" orientation="portrait" r:id="rId10"/>
    </customSheetView>
    <customSheetView guid="{B76C0EA9-E79B-4DA2-9ADE-66DB47109F8F}">
      <selection activeCell="N17" sqref="N17"/>
      <pageMargins left="0.7" right="0.7" top="0.75" bottom="0.75" header="0.3" footer="0.3"/>
      <pageSetup paperSize="9" orientation="portrait" r:id="rId11"/>
    </customSheetView>
    <customSheetView guid="{726FF687-50E0-4F8A-BCCB-6DA9E6D367D4}">
      <selection activeCell="N17" sqref="N17"/>
      <pageMargins left="0.7" right="0.7" top="0.75" bottom="0.75" header="0.3" footer="0.3"/>
      <pageSetup paperSize="9" orientation="portrait" r:id="rId12"/>
    </customSheetView>
    <customSheetView guid="{BB9ED292-532F-438C-A4A6-F8D66D70E0E7}" topLeftCell="A61">
      <selection activeCell="A43" sqref="A43"/>
      <pageMargins left="0.7" right="0.7" top="0.75" bottom="0.75" header="0.3" footer="0.3"/>
      <pageSetup paperSize="9" orientation="portrait" r:id="rId13"/>
    </customSheetView>
    <customSheetView guid="{7AE955BB-7BF8-4CA4-ABF1-6A0BB53A48AD}" topLeftCell="A36">
      <selection activeCell="M100" sqref="M100"/>
      <pageMargins left="0.7" right="0.7" top="0.75" bottom="0.75" header="0.3" footer="0.3"/>
      <pageSetup paperSize="9" orientation="portrait" r:id="rId14"/>
    </customSheetView>
    <customSheetView guid="{43EFFC0A-CCC0-43DD-A273-4AF58757EC00}">
      <selection activeCell="E71" sqref="E71"/>
      <pageMargins left="0.7" right="0.7" top="0.75" bottom="0.75" header="0.3" footer="0.3"/>
      <pageSetup paperSize="9" orientation="portrait" r:id="rId15"/>
    </customSheetView>
    <customSheetView guid="{E5349645-7714-4437-B9BC-26ED822E5BC5}" hiddenColumns="1">
      <selection activeCell="D24" sqref="D24"/>
      <pageMargins left="0.7" right="0.7" top="0.75" bottom="0.75" header="0.3" footer="0.3"/>
      <pageSetup paperSize="9" orientation="portrait" r:id="rId16"/>
    </customSheetView>
    <customSheetView guid="{46AB9545-8BEE-4A2F-B820-9F80AC24A11B}" hiddenColumns="1">
      <selection activeCell="E22" sqref="E22"/>
      <pageMargins left="0.7" right="0.7" top="0.75" bottom="0.75" header="0.3" footer="0.3"/>
      <pageSetup paperSize="9" orientation="portrait" r:id="rId17"/>
    </customSheetView>
    <customSheetView guid="{F727610F-D041-4412-A81F-AFD013C44971}" hiddenColumns="1" topLeftCell="A55">
      <selection activeCell="I55" sqref="I55"/>
      <pageMargins left="0.7" right="0.7" top="0.75" bottom="0.75" header="0.3" footer="0.3"/>
      <pageSetup paperSize="9" orientation="portrait" r:id="rId18"/>
    </customSheetView>
    <customSheetView guid="{F170D8DF-3539-4353-BD8B-1F5EB452DAE5}" hiddenColumns="1" topLeftCell="A67">
      <selection activeCell="I55" sqref="I55"/>
      <pageMargins left="0.7" right="0.7" top="0.75" bottom="0.75" header="0.3" footer="0.3"/>
      <pageSetup paperSize="9" orientation="portrait" r:id="rId19"/>
    </customSheetView>
    <customSheetView guid="{1283C6B5-B05C-447B-8854-CDB081C03FD4}" scale="80" hiddenColumns="1">
      <selection activeCell="D60" sqref="D60"/>
      <pageMargins left="0.7" right="0.7" top="0.75" bottom="0.75" header="0.3" footer="0.3"/>
      <pageSetup paperSize="9" orientation="portrait" r:id="rId20"/>
    </customSheetView>
    <customSheetView guid="{37BC2192-ABF8-4439-93C4-8E65E7EF90F5}" hiddenColumns="1" topLeftCell="A21">
      <selection activeCell="D2" sqref="D2"/>
      <pageMargins left="0.7" right="0.7" top="0.75" bottom="0.75" header="0.3" footer="0.3"/>
      <pageSetup paperSize="9" orientation="portrait" r:id="rId21"/>
    </customSheetView>
    <customSheetView guid="{7084DC93-B2BE-4098-87E1-DAC5FBCE0E0A}" hiddenColumns="1" topLeftCell="A21">
      <selection activeCell="D2" sqref="D2"/>
      <pageMargins left="0.7" right="0.7" top="0.75" bottom="0.75" header="0.3" footer="0.3"/>
      <pageSetup paperSize="9" orientation="portrait" r:id="rId22"/>
    </customSheetView>
    <customSheetView guid="{0E885D9C-CD7C-4655-8709-41793617E0A7}" hiddenColumns="1">
      <selection activeCell="B6" sqref="B6"/>
      <pageMargins left="0.7" right="0.7" top="0.75" bottom="0.75" header="0.3" footer="0.3"/>
      <pageSetup paperSize="9" orientation="portrait" r:id="rId23"/>
    </customSheetView>
    <customSheetView guid="{B711C9DF-E741-4A27-9293-4E9F012F3AC0}" hiddenColumns="1">
      <selection activeCell="B6" sqref="B6"/>
      <pageMargins left="0.7" right="0.7" top="0.75" bottom="0.75" header="0.3" footer="0.3"/>
      <pageSetup paperSize="9" orientation="portrait" r:id="rId24"/>
    </customSheetView>
    <customSheetView guid="{1241DC17-BD41-46C5-9DB1-684763A09F24}" hiddenColumns="1">
      <selection activeCell="B43" sqref="B43"/>
      <pageMargins left="0.7" right="0.7" top="0.75" bottom="0.75" header="0.3" footer="0.3"/>
      <pageSetup paperSize="9" orientation="portrait" r:id="rId25"/>
    </customSheetView>
  </customSheetViews>
  <mergeCells count="1">
    <mergeCell ref="B4:D4"/>
  </mergeCells>
  <pageMargins left="0.7" right="0.7" top="0.75" bottom="0.75" header="0.3" footer="0.3"/>
  <pageSetup paperSize="9" orientation="portrait" r:id="rId26"/>
  <legacyDrawing r:id="rId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selection activeCell="C30" sqref="C30"/>
    </sheetView>
  </sheetViews>
  <sheetFormatPr baseColWidth="10" defaultColWidth="11.42578125" defaultRowHeight="15" x14ac:dyDescent="0.25"/>
  <cols>
    <col min="1" max="1" width="62.42578125" customWidth="1"/>
    <col min="2" max="2" width="14.140625" customWidth="1"/>
    <col min="3" max="3" width="14.42578125" customWidth="1"/>
    <col min="4" max="4" width="10" bestFit="1" customWidth="1"/>
    <col min="5" max="5" width="10.85546875" customWidth="1"/>
    <col min="6" max="6" width="14.42578125" bestFit="1" customWidth="1"/>
    <col min="7" max="256" width="9.140625" customWidth="1"/>
  </cols>
  <sheetData>
    <row r="1" spans="1:8" ht="20.25" x14ac:dyDescent="0.3">
      <c r="A1" s="116" t="s">
        <v>236</v>
      </c>
    </row>
    <row r="3" spans="1:8" x14ac:dyDescent="0.25">
      <c r="F3" s="135" t="s">
        <v>124</v>
      </c>
    </row>
    <row r="4" spans="1:8" ht="18.75" x14ac:dyDescent="0.3">
      <c r="A4" s="114" t="s">
        <v>139</v>
      </c>
      <c r="C4" s="115">
        <v>500000</v>
      </c>
      <c r="F4" s="107">
        <v>0.2</v>
      </c>
    </row>
    <row r="5" spans="1:8" ht="18.75" x14ac:dyDescent="0.3">
      <c r="A5" s="114" t="s">
        <v>134</v>
      </c>
      <c r="C5" s="115">
        <f>E27</f>
        <v>130000</v>
      </c>
      <c r="F5" s="107">
        <v>0.2</v>
      </c>
    </row>
    <row r="6" spans="1:8" ht="18.75" x14ac:dyDescent="0.3">
      <c r="A6" s="114" t="s">
        <v>135</v>
      </c>
      <c r="C6" s="115">
        <f>E33</f>
        <v>145000</v>
      </c>
      <c r="F6" s="107">
        <v>0.2</v>
      </c>
    </row>
    <row r="7" spans="1:8" ht="18.75" x14ac:dyDescent="0.3">
      <c r="A7" s="114" t="s">
        <v>179</v>
      </c>
      <c r="C7" s="115">
        <f>'Oppsummering '!H13</f>
        <v>2142360.0000000005</v>
      </c>
      <c r="F7" s="107">
        <v>0.5</v>
      </c>
      <c r="G7" s="15"/>
      <c r="H7" s="15"/>
    </row>
    <row r="8" spans="1:8" ht="18.75" x14ac:dyDescent="0.3">
      <c r="A8" s="114" t="s">
        <v>294</v>
      </c>
      <c r="C8" s="115">
        <f>250*330*3*2</f>
        <v>495000</v>
      </c>
      <c r="F8" s="107"/>
      <c r="G8" s="15"/>
      <c r="H8" s="15"/>
    </row>
    <row r="9" spans="1:8" ht="18.75" x14ac:dyDescent="0.3">
      <c r="A9" s="114" t="s">
        <v>295</v>
      </c>
      <c r="C9" s="115">
        <v>50000</v>
      </c>
      <c r="F9" s="107"/>
      <c r="G9" s="15"/>
      <c r="H9" s="15"/>
    </row>
    <row r="10" spans="1:8" ht="18.75" x14ac:dyDescent="0.3">
      <c r="A10" s="114" t="s">
        <v>23</v>
      </c>
      <c r="C10" s="115">
        <v>239500</v>
      </c>
      <c r="F10" s="107"/>
    </row>
    <row r="11" spans="1:8" ht="18.75" x14ac:dyDescent="0.3">
      <c r="A11" s="114" t="s">
        <v>232</v>
      </c>
      <c r="C11" s="115">
        <v>100000</v>
      </c>
      <c r="F11" s="107"/>
    </row>
    <row r="12" spans="1:8" ht="18.75" x14ac:dyDescent="0.3">
      <c r="A12" s="173" t="s">
        <v>125</v>
      </c>
      <c r="C12" s="115">
        <f>178*2150</f>
        <v>382700</v>
      </c>
      <c r="F12" s="107">
        <v>0.1</v>
      </c>
    </row>
    <row r="13" spans="1:8" ht="18.75" x14ac:dyDescent="0.3">
      <c r="A13" s="173" t="s">
        <v>239</v>
      </c>
      <c r="C13" s="115">
        <f>E19</f>
        <v>49680</v>
      </c>
      <c r="F13" s="107"/>
    </row>
    <row r="14" spans="1:8" ht="18.75" x14ac:dyDescent="0.3">
      <c r="A14" s="173" t="str">
        <f>A20</f>
        <v>TULSA og andre tiltak</v>
      </c>
      <c r="C14" s="115">
        <f>E20</f>
        <v>448000</v>
      </c>
      <c r="F14" s="107"/>
    </row>
    <row r="15" spans="1:8" s="128" customFormat="1" ht="18.75" x14ac:dyDescent="0.3">
      <c r="A15" s="133" t="s">
        <v>126</v>
      </c>
      <c r="C15" s="134">
        <f>SUM(C4:C12)</f>
        <v>4184560.0000000005</v>
      </c>
    </row>
    <row r="18" spans="1:9" x14ac:dyDescent="0.25">
      <c r="A18" s="117" t="s">
        <v>109</v>
      </c>
      <c r="B18" s="118" t="s">
        <v>110</v>
      </c>
      <c r="C18" s="117" t="s">
        <v>111</v>
      </c>
      <c r="D18" s="117" t="s">
        <v>112</v>
      </c>
      <c r="E18" s="117" t="s">
        <v>123</v>
      </c>
      <c r="F18" s="117" t="s">
        <v>124</v>
      </c>
    </row>
    <row r="19" spans="1:9" x14ac:dyDescent="0.25">
      <c r="A19" s="119" t="s">
        <v>198</v>
      </c>
      <c r="B19" s="120">
        <v>184</v>
      </c>
      <c r="C19" s="213">
        <v>135</v>
      </c>
      <c r="D19" s="213">
        <v>135</v>
      </c>
      <c r="E19" s="178">
        <f>C19*B19+D19*B19</f>
        <v>49680</v>
      </c>
      <c r="F19" s="121">
        <v>0.2</v>
      </c>
    </row>
    <row r="20" spans="1:9" x14ac:dyDescent="0.25">
      <c r="A20" s="119" t="s">
        <v>227</v>
      </c>
      <c r="B20" s="156">
        <f>B23*2/5</f>
        <v>1000</v>
      </c>
      <c r="C20" s="213">
        <v>192</v>
      </c>
      <c r="D20" s="213">
        <v>256</v>
      </c>
      <c r="E20" s="178">
        <f>C20*B20+D20*B20</f>
        <v>448000</v>
      </c>
      <c r="F20" s="176"/>
      <c r="G20" s="152"/>
    </row>
    <row r="21" spans="1:9" x14ac:dyDescent="0.25">
      <c r="A21" s="119"/>
      <c r="B21" s="120"/>
      <c r="C21" s="175"/>
      <c r="D21" s="175"/>
      <c r="E21" s="175"/>
      <c r="F21" s="175"/>
      <c r="G21" s="152"/>
    </row>
    <row r="22" spans="1:9" x14ac:dyDescent="0.25">
      <c r="A22" s="117" t="s">
        <v>113</v>
      </c>
      <c r="B22" s="120"/>
      <c r="C22" s="175"/>
      <c r="D22" s="175"/>
      <c r="E22" s="175"/>
      <c r="F22" s="175"/>
      <c r="G22" s="152"/>
    </row>
    <row r="23" spans="1:9" x14ac:dyDescent="0.25">
      <c r="A23" s="119" t="s">
        <v>114</v>
      </c>
      <c r="B23" s="120">
        <v>2500</v>
      </c>
      <c r="C23" s="213">
        <v>0</v>
      </c>
      <c r="D23" s="213">
        <v>0</v>
      </c>
      <c r="E23" s="178">
        <f>C23*B23+D23*B23</f>
        <v>0</v>
      </c>
      <c r="F23" s="178">
        <f>E23</f>
        <v>0</v>
      </c>
      <c r="G23" s="152"/>
    </row>
    <row r="24" spans="1:9" x14ac:dyDescent="0.25">
      <c r="A24" s="119" t="s">
        <v>115</v>
      </c>
      <c r="B24" s="120">
        <v>2500</v>
      </c>
      <c r="C24" s="213">
        <v>10</v>
      </c>
      <c r="D24" s="213">
        <v>10</v>
      </c>
      <c r="E24" s="178">
        <f t="shared" ref="E24:E32" si="0">C24*B24+D24*B24</f>
        <v>50000</v>
      </c>
      <c r="F24" s="178">
        <f>E24*0.5</f>
        <v>25000</v>
      </c>
      <c r="G24" s="152"/>
    </row>
    <row r="25" spans="1:9" x14ac:dyDescent="0.25">
      <c r="A25" s="119" t="s">
        <v>116</v>
      </c>
      <c r="B25" s="120">
        <v>2500</v>
      </c>
      <c r="C25" s="213">
        <v>10</v>
      </c>
      <c r="D25" s="213">
        <v>10</v>
      </c>
      <c r="E25" s="178">
        <f t="shared" si="0"/>
        <v>50000</v>
      </c>
      <c r="F25" s="178">
        <v>0</v>
      </c>
      <c r="G25" s="152"/>
    </row>
    <row r="26" spans="1:9" x14ac:dyDescent="0.25">
      <c r="A26" s="119" t="s">
        <v>231</v>
      </c>
      <c r="B26" s="120">
        <v>15000</v>
      </c>
      <c r="C26" s="213">
        <v>1</v>
      </c>
      <c r="D26" s="213">
        <v>1</v>
      </c>
      <c r="E26" s="178">
        <f t="shared" si="0"/>
        <v>30000</v>
      </c>
      <c r="F26" s="178">
        <f>E26</f>
        <v>30000</v>
      </c>
      <c r="G26" s="152"/>
    </row>
    <row r="27" spans="1:9" s="128" customFormat="1" x14ac:dyDescent="0.25">
      <c r="A27" s="126" t="s">
        <v>137</v>
      </c>
      <c r="B27" s="127"/>
      <c r="C27" s="131"/>
      <c r="D27" s="131"/>
      <c r="E27" s="132">
        <f>SUM(E23:E26)</f>
        <v>130000</v>
      </c>
      <c r="F27" s="132">
        <f>SUM(F23:F26)</f>
        <v>55000</v>
      </c>
      <c r="G27" s="179"/>
    </row>
    <row r="28" spans="1:9" x14ac:dyDescent="0.25">
      <c r="A28" s="119"/>
      <c r="B28" s="120"/>
      <c r="C28" s="177"/>
      <c r="D28" s="177"/>
      <c r="E28" s="178"/>
      <c r="F28" s="178"/>
      <c r="G28" s="152"/>
      <c r="H28" s="157"/>
      <c r="I28" s="157"/>
    </row>
    <row r="29" spans="1:9" x14ac:dyDescent="0.25">
      <c r="A29" s="117" t="s">
        <v>117</v>
      </c>
      <c r="B29" s="120"/>
      <c r="C29" s="177"/>
      <c r="D29" s="177"/>
      <c r="E29" s="178"/>
      <c r="F29" s="178"/>
      <c r="G29" s="152"/>
      <c r="H29" s="157"/>
      <c r="I29" s="157"/>
    </row>
    <row r="30" spans="1:9" ht="16.5" customHeight="1" x14ac:dyDescent="0.35">
      <c r="A30" s="122" t="s">
        <v>228</v>
      </c>
      <c r="B30" s="120">
        <v>2500</v>
      </c>
      <c r="C30" s="214"/>
      <c r="D30" s="215">
        <v>20</v>
      </c>
      <c r="E30" s="129">
        <f t="shared" si="0"/>
        <v>50000</v>
      </c>
      <c r="F30" s="178">
        <f t="shared" ref="F30:F33" si="1">E30*$F$19</f>
        <v>10000</v>
      </c>
      <c r="G30" s="180"/>
      <c r="H30" s="158"/>
      <c r="I30" s="159"/>
    </row>
    <row r="31" spans="1:9" ht="18.75" customHeight="1" x14ac:dyDescent="0.35">
      <c r="A31" s="122" t="s">
        <v>136</v>
      </c>
      <c r="B31" s="120">
        <v>2500</v>
      </c>
      <c r="C31" s="215">
        <v>20</v>
      </c>
      <c r="D31" s="214"/>
      <c r="E31" s="129">
        <f t="shared" si="0"/>
        <v>50000</v>
      </c>
      <c r="F31" s="178">
        <f t="shared" si="1"/>
        <v>10000</v>
      </c>
      <c r="G31" s="152"/>
      <c r="H31" s="157"/>
      <c r="I31" s="159"/>
    </row>
    <row r="32" spans="1:9" ht="14.25" customHeight="1" x14ac:dyDescent="0.35">
      <c r="A32" s="122" t="s">
        <v>229</v>
      </c>
      <c r="B32" s="120">
        <v>2500</v>
      </c>
      <c r="C32" s="216"/>
      <c r="D32" s="216">
        <v>18</v>
      </c>
      <c r="E32" s="129">
        <f t="shared" si="0"/>
        <v>45000</v>
      </c>
      <c r="F32" s="178">
        <f t="shared" si="1"/>
        <v>9000</v>
      </c>
      <c r="G32" s="152" t="s">
        <v>242</v>
      </c>
      <c r="H32" s="157"/>
      <c r="I32" s="159"/>
    </row>
    <row r="33" spans="1:11" s="128" customFormat="1" x14ac:dyDescent="0.25">
      <c r="A33" s="130" t="s">
        <v>138</v>
      </c>
      <c r="B33" s="118"/>
      <c r="C33" s="131"/>
      <c r="D33" s="131"/>
      <c r="E33" s="132">
        <f>SUM(E28:E32)</f>
        <v>145000</v>
      </c>
      <c r="F33" s="132">
        <f t="shared" si="1"/>
        <v>29000</v>
      </c>
      <c r="G33" s="179"/>
    </row>
    <row r="34" spans="1:11" ht="18" customHeight="1" x14ac:dyDescent="0.25">
      <c r="A34" s="123"/>
      <c r="B34" s="122"/>
      <c r="C34" s="124"/>
      <c r="D34" s="125"/>
      <c r="E34" s="120"/>
      <c r="F34" s="120"/>
    </row>
    <row r="35" spans="1:11" ht="18" customHeight="1" x14ac:dyDescent="0.25">
      <c r="A35" s="160"/>
      <c r="B35" s="161"/>
      <c r="C35" s="162"/>
      <c r="D35" s="162"/>
      <c r="E35" s="163"/>
      <c r="F35" s="163"/>
    </row>
    <row r="36" spans="1:11" ht="18.75" customHeight="1" x14ac:dyDescent="0.25">
      <c r="A36" s="164"/>
      <c r="B36" s="163"/>
      <c r="C36" s="162"/>
      <c r="D36" s="162"/>
      <c r="E36" s="163"/>
      <c r="F36" s="163"/>
      <c r="G36" s="15"/>
      <c r="H36" s="15"/>
      <c r="I36" s="15"/>
      <c r="J36" s="15"/>
      <c r="K36" s="15"/>
    </row>
    <row r="37" spans="1:11" ht="18.75" customHeight="1" x14ac:dyDescent="0.25">
      <c r="A37" s="164"/>
      <c r="B37" s="163"/>
      <c r="C37" s="165"/>
      <c r="D37" s="162"/>
      <c r="E37" s="163"/>
      <c r="F37" s="163"/>
    </row>
    <row r="38" spans="1:11" ht="27" customHeight="1" x14ac:dyDescent="0.25">
      <c r="A38" s="164"/>
      <c r="B38" s="163"/>
      <c r="C38" s="166"/>
      <c r="D38" s="162"/>
      <c r="E38" s="163"/>
      <c r="F38" s="163"/>
    </row>
    <row r="39" spans="1:11" ht="18.75" customHeight="1" x14ac:dyDescent="0.25">
      <c r="A39" s="164"/>
      <c r="B39" s="163"/>
      <c r="C39" s="167"/>
      <c r="D39" s="162"/>
      <c r="E39" s="163"/>
      <c r="F39" s="163"/>
    </row>
    <row r="40" spans="1:11" ht="18.75" customHeight="1" x14ac:dyDescent="0.25">
      <c r="A40" s="164"/>
      <c r="B40" s="163"/>
      <c r="C40" s="167"/>
      <c r="D40" s="162"/>
      <c r="E40" s="163"/>
      <c r="F40" s="163"/>
    </row>
    <row r="41" spans="1:11" x14ac:dyDescent="0.25">
      <c r="A41" s="161"/>
      <c r="B41" s="168"/>
      <c r="C41" s="162"/>
      <c r="D41" s="162"/>
      <c r="E41" s="163"/>
      <c r="F41" s="163"/>
    </row>
    <row r="42" spans="1:11" s="128" customFormat="1" x14ac:dyDescent="0.25">
      <c r="A42" s="169"/>
      <c r="B42" s="168"/>
      <c r="C42" s="170"/>
      <c r="D42" s="170"/>
      <c r="E42" s="171"/>
      <c r="F42" s="171"/>
    </row>
    <row r="43" spans="1:11" x14ac:dyDescent="0.25">
      <c r="A43" s="172"/>
      <c r="B43" s="172"/>
      <c r="C43" s="172"/>
      <c r="D43" s="172"/>
      <c r="E43" s="172"/>
      <c r="F43" s="172"/>
    </row>
    <row r="44" spans="1:11" ht="18.75" x14ac:dyDescent="0.3">
      <c r="C44" s="106"/>
    </row>
  </sheetData>
  <sheetProtection algorithmName="SHA-512" hashValue="MjJqE/f6tRsFEhSsZahm+u7dvn1GWPAoOcXXNsmq6se4lC9sFv7i+lR1ikSD7rIN4193rbSQSCkg8bOTotiiHA==" saltValue="/QuXtHWNkEbydsP4EAp+2Q==" spinCount="100000" sheet="1" selectLockedCells="1"/>
  <customSheetViews>
    <customSheetView guid="{CB7E9FB3-C7A3-44DE-98E4-19C23B487785}">
      <selection activeCell="C30" sqref="C30"/>
      <pageMargins left="0.7" right="0.7" top="0.75" bottom="0.75" header="0.3" footer="0.3"/>
      <pageSetup paperSize="9" orientation="portrait" r:id="rId1"/>
    </customSheetView>
    <customSheetView guid="{0F10E6D6-430E-4539-8602-E1FCB30ABD1B}" topLeftCell="A3">
      <selection activeCell="C19" sqref="C19"/>
      <pageMargins left="0.7" right="0.7" top="0.75" bottom="0.75" header="0.3" footer="0.3"/>
      <pageSetup paperSize="9" orientation="portrait" r:id="rId2"/>
    </customSheetView>
    <customSheetView guid="{6A1E5DF8-D380-4588-9B84-662BAE41D0D9}">
      <selection activeCell="C19" sqref="C19"/>
      <pageMargins left="0.7" right="0.7" top="0.75" bottom="0.75" header="0.3" footer="0.3"/>
      <pageSetup paperSize="9" orientation="portrait" r:id="rId3"/>
    </customSheetView>
    <customSheetView guid="{C3BF634C-AA16-4BD6-93CF-AD12048346B7}">
      <selection activeCell="C19" sqref="C19"/>
      <pageMargins left="0.7" right="0.7" top="0.75" bottom="0.75" header="0.3" footer="0.3"/>
      <pageSetup paperSize="9" orientation="portrait" r:id="rId4"/>
    </customSheetView>
    <customSheetView guid="{2A2C752C-8C42-4F9A-A40C-FE7F7014F210}" topLeftCell="A7">
      <selection activeCell="D28" sqref="D28"/>
      <pageMargins left="0.7" right="0.7" top="0.75" bottom="0.75" header="0.3" footer="0.3"/>
      <pageSetup paperSize="9" orientation="portrait" r:id="rId5"/>
    </customSheetView>
    <customSheetView guid="{AC2983A2-F978-40B7-A196-35F34E705157}" topLeftCell="A2">
      <selection activeCell="F10" sqref="F10"/>
      <pageMargins left="0.7" right="0.7" top="0.75" bottom="0.75" header="0.3" footer="0.3"/>
      <pageSetup paperSize="9" orientation="portrait" r:id="rId6"/>
    </customSheetView>
    <customSheetView guid="{749D43A3-052D-442F-AE88-F6CCB83A1282}">
      <selection activeCell="C29" sqref="C29"/>
      <pageMargins left="0.7" right="0.7" top="0.75" bottom="0.75" header="0.3" footer="0.3"/>
      <pageSetup paperSize="9" orientation="portrait" r:id="rId7"/>
    </customSheetView>
    <customSheetView guid="{F38A39FA-EF57-4062-A2AD-F3BEB88C5762}">
      <selection activeCell="D15" sqref="D15"/>
      <pageMargins left="0.7" right="0.7" top="0.75" bottom="0.75" header="0.3" footer="0.3"/>
      <pageSetup paperSize="9" orientation="portrait" r:id="rId8"/>
    </customSheetView>
    <customSheetView guid="{83C69039-3E29-46E1-85FB-B9165E0BFA91}" topLeftCell="A13">
      <selection activeCell="A9" sqref="A9"/>
      <pageMargins left="0.7" right="0.7" top="0.75" bottom="0.75" header="0.3" footer="0.3"/>
      <pageSetup paperSize="9" orientation="portrait" r:id="rId9"/>
    </customSheetView>
    <customSheetView guid="{C1FECEF4-D739-4F39-9B89-CF4C04A77A9B}" topLeftCell="A2">
      <selection activeCell="G20" sqref="G20"/>
      <pageMargins left="0.7" right="0.7" top="0.75" bottom="0.75" header="0.3" footer="0.3"/>
      <pageSetup paperSize="9" orientation="portrait" r:id="rId10"/>
    </customSheetView>
    <customSheetView guid="{B76C0EA9-E79B-4DA2-9ADE-66DB47109F8F}" topLeftCell="A2">
      <selection activeCell="G20" sqref="G20"/>
      <pageMargins left="0.7" right="0.7" top="0.75" bottom="0.75" header="0.3" footer="0.3"/>
      <pageSetup paperSize="9" orientation="portrait" r:id="rId11"/>
    </customSheetView>
    <customSheetView guid="{726FF687-50E0-4F8A-BCCB-6DA9E6D367D4}" topLeftCell="A2">
      <selection activeCell="G20" sqref="G20"/>
      <pageMargins left="0.7" right="0.7" top="0.75" bottom="0.75" header="0.3" footer="0.3"/>
      <pageSetup paperSize="9" orientation="portrait" r:id="rId12"/>
    </customSheetView>
    <customSheetView guid="{BB9ED292-532F-438C-A4A6-F8D66D70E0E7}" topLeftCell="A2">
      <selection activeCell="G20" sqref="G20"/>
      <pageMargins left="0.7" right="0.7" top="0.75" bottom="0.75" header="0.3" footer="0.3"/>
      <pageSetup paperSize="9" orientation="portrait" r:id="rId13"/>
    </customSheetView>
    <customSheetView guid="{7AE955BB-7BF8-4CA4-ABF1-6A0BB53A48AD}">
      <selection activeCell="E15" sqref="E15"/>
      <pageMargins left="0.7" right="0.7" top="0.75" bottom="0.75" header="0.3" footer="0.3"/>
      <pageSetup paperSize="9" orientation="portrait" r:id="rId14"/>
    </customSheetView>
    <customSheetView guid="{43EFFC0A-CCC0-43DD-A273-4AF58757EC00}">
      <selection activeCell="D15" sqref="D15"/>
      <pageMargins left="0.7" right="0.7" top="0.75" bottom="0.75" header="0.3" footer="0.3"/>
      <pageSetup paperSize="9" orientation="portrait" r:id="rId15"/>
    </customSheetView>
    <customSheetView guid="{E5349645-7714-4437-B9BC-26ED822E5BC5}">
      <selection activeCell="C16" sqref="C16"/>
      <pageMargins left="0.7" right="0.7" top="0.75" bottom="0.75" header="0.3" footer="0.3"/>
      <pageSetup paperSize="9" orientation="portrait" r:id="rId16"/>
    </customSheetView>
    <customSheetView guid="{46AB9545-8BEE-4A2F-B820-9F80AC24A11B}">
      <selection activeCell="D15" sqref="D15"/>
      <pageMargins left="0.7" right="0.7" top="0.75" bottom="0.75" header="0.3" footer="0.3"/>
      <pageSetup paperSize="9" orientation="portrait" r:id="rId17"/>
    </customSheetView>
    <customSheetView guid="{F727610F-D041-4412-A81F-AFD013C44971}">
      <selection activeCell="C16" sqref="C16"/>
      <pageMargins left="0.7" right="0.7" top="0.75" bottom="0.75" header="0.3" footer="0.3"/>
      <pageSetup paperSize="9" orientation="portrait" r:id="rId18"/>
    </customSheetView>
    <customSheetView guid="{F170D8DF-3539-4353-BD8B-1F5EB452DAE5}" topLeftCell="A7">
      <selection activeCell="C16" sqref="C16"/>
      <pageMargins left="0.7" right="0.7" top="0.75" bottom="0.75" header="0.3" footer="0.3"/>
      <pageSetup paperSize="9" orientation="portrait" r:id="rId19"/>
    </customSheetView>
    <customSheetView guid="{1283C6B5-B05C-447B-8854-CDB081C03FD4}" scale="80" topLeftCell="A16">
      <selection activeCell="C32" sqref="C32"/>
      <pageMargins left="0.7" right="0.7" top="0.75" bottom="0.75" header="0.3" footer="0.3"/>
      <pageSetup paperSize="9" orientation="portrait" r:id="rId20"/>
    </customSheetView>
    <customSheetView guid="{37BC2192-ABF8-4439-93C4-8E65E7EF90F5}" topLeftCell="A10">
      <selection activeCell="C32" sqref="C32"/>
      <pageMargins left="0.7" right="0.7" top="0.75" bottom="0.75" header="0.3" footer="0.3"/>
      <pageSetup paperSize="9" orientation="portrait" r:id="rId21"/>
    </customSheetView>
    <customSheetView guid="{7084DC93-B2BE-4098-87E1-DAC5FBCE0E0A}" topLeftCell="A10">
      <selection activeCell="C32" sqref="C32"/>
      <pageMargins left="0.7" right="0.7" top="0.75" bottom="0.75" header="0.3" footer="0.3"/>
      <pageSetup paperSize="9" orientation="portrait" r:id="rId22"/>
    </customSheetView>
    <customSheetView guid="{0E885D9C-CD7C-4655-8709-41793617E0A7}">
      <selection activeCell="C19" sqref="C19"/>
      <pageMargins left="0.7" right="0.7" top="0.75" bottom="0.75" header="0.3" footer="0.3"/>
      <pageSetup paperSize="9" orientation="portrait" r:id="rId23"/>
    </customSheetView>
    <customSheetView guid="{B711C9DF-E741-4A27-9293-4E9F012F3AC0}">
      <selection activeCell="C19" sqref="C19"/>
      <pageMargins left="0.7" right="0.7" top="0.75" bottom="0.75" header="0.3" footer="0.3"/>
      <pageSetup paperSize="9" orientation="portrait" r:id="rId24"/>
    </customSheetView>
    <customSheetView guid="{1241DC17-BD41-46C5-9DB1-684763A09F24}" topLeftCell="A3">
      <selection activeCell="C19" sqref="C19"/>
      <pageMargins left="0.7" right="0.7" top="0.75" bottom="0.75" header="0.3" footer="0.3"/>
      <pageSetup paperSize="9" orientation="portrait" r:id="rId25"/>
    </customSheetView>
  </customSheetViews>
  <pageMargins left="0.7" right="0.7" top="0.75" bottom="0.75" header="0.3" footer="0.3"/>
  <pageSetup paperSize="9" orientation="portrait" r:id="rId2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tabSelected="1" zoomScale="70" zoomScaleNormal="70" workbookViewId="0">
      <selection activeCell="F13" sqref="F13"/>
    </sheetView>
  </sheetViews>
  <sheetFormatPr baseColWidth="10" defaultColWidth="11.42578125" defaultRowHeight="23.25" x14ac:dyDescent="0.35"/>
  <cols>
    <col min="1" max="1" width="47.85546875" style="60" customWidth="1"/>
    <col min="2" max="2" width="23.85546875" style="60" bestFit="1" customWidth="1"/>
    <col min="3" max="3" width="28.42578125" style="60" hidden="1" customWidth="1"/>
    <col min="4" max="4" width="23.85546875" style="60" bestFit="1" customWidth="1"/>
    <col min="5" max="5" width="28.85546875" style="60" hidden="1" customWidth="1"/>
    <col min="6" max="6" width="22.140625" style="60" customWidth="1"/>
    <col min="7" max="7" width="18.140625" style="60" bestFit="1" customWidth="1"/>
    <col min="8" max="8" width="21.42578125" style="60" customWidth="1"/>
    <col min="9" max="10" width="24" style="60" customWidth="1"/>
    <col min="11" max="11" width="21.140625" style="60" customWidth="1"/>
    <col min="12" max="13" width="24" style="60" customWidth="1"/>
    <col min="14" max="14" width="15.5703125" style="60" bestFit="1" customWidth="1"/>
    <col min="15" max="15" width="15.5703125" style="60" customWidth="1"/>
    <col min="16" max="16" width="29.140625" style="60" customWidth="1"/>
    <col min="17" max="17" width="21.42578125" style="60" customWidth="1"/>
    <col min="18" max="18" width="18.5703125" style="60" customWidth="1"/>
    <col min="19" max="19" width="18.140625" style="60" bestFit="1" customWidth="1"/>
    <col min="20" max="262" width="9.140625" style="60" customWidth="1"/>
    <col min="263" max="16384" width="11.42578125" style="60"/>
  </cols>
  <sheetData>
    <row r="1" spans="1:19" ht="69.75" customHeight="1" x14ac:dyDescent="0.35">
      <c r="B1" s="403" t="s">
        <v>359</v>
      </c>
      <c r="C1" s="403"/>
      <c r="D1" s="403"/>
      <c r="E1" s="403"/>
      <c r="F1" s="404" t="s">
        <v>360</v>
      </c>
      <c r="G1" s="405"/>
      <c r="H1" s="405"/>
      <c r="I1" s="405"/>
      <c r="J1" s="405"/>
      <c r="K1" s="405"/>
      <c r="L1" s="405"/>
      <c r="M1" s="405"/>
      <c r="N1" s="405"/>
      <c r="O1" s="406"/>
      <c r="P1" s="398" t="s">
        <v>370</v>
      </c>
      <c r="Q1" s="398"/>
      <c r="R1" s="398" t="s">
        <v>371</v>
      </c>
      <c r="S1" s="398"/>
    </row>
    <row r="2" spans="1:19" x14ac:dyDescent="0.35">
      <c r="A2" s="62"/>
      <c r="B2" s="407">
        <v>2023</v>
      </c>
      <c r="C2" s="408"/>
      <c r="D2" s="409">
        <v>2022</v>
      </c>
      <c r="E2" s="410"/>
      <c r="F2" s="399">
        <v>2023</v>
      </c>
      <c r="G2" s="400"/>
      <c r="H2" s="400"/>
      <c r="I2" s="401"/>
      <c r="J2" s="362"/>
      <c r="K2" s="402">
        <v>2022</v>
      </c>
      <c r="L2" s="402"/>
      <c r="M2" s="363"/>
      <c r="N2" s="343"/>
      <c r="O2" s="344"/>
      <c r="P2" s="61">
        <v>2023</v>
      </c>
      <c r="Q2" s="61">
        <v>2022</v>
      </c>
      <c r="R2" s="61">
        <v>2023</v>
      </c>
      <c r="S2" s="61">
        <v>2022</v>
      </c>
    </row>
    <row r="3" spans="1:19" ht="69.75" x14ac:dyDescent="0.35">
      <c r="A3" s="146" t="s">
        <v>24</v>
      </c>
      <c r="B3" s="354" t="s">
        <v>365</v>
      </c>
      <c r="C3" s="354" t="s">
        <v>361</v>
      </c>
      <c r="D3" s="354" t="s">
        <v>365</v>
      </c>
      <c r="E3" s="354" t="s">
        <v>361</v>
      </c>
      <c r="F3" s="345" t="s">
        <v>29</v>
      </c>
      <c r="G3" s="345" t="s">
        <v>30</v>
      </c>
      <c r="H3" s="346" t="s">
        <v>363</v>
      </c>
      <c r="I3" s="346" t="s">
        <v>364</v>
      </c>
      <c r="J3" s="346" t="s">
        <v>373</v>
      </c>
      <c r="K3" s="346" t="s">
        <v>363</v>
      </c>
      <c r="L3" s="346" t="s">
        <v>364</v>
      </c>
      <c r="M3" s="346" t="s">
        <v>373</v>
      </c>
      <c r="N3" s="345" t="s">
        <v>358</v>
      </c>
      <c r="O3" s="345" t="s">
        <v>264</v>
      </c>
      <c r="P3" s="61"/>
      <c r="Q3" s="61"/>
      <c r="R3" s="61"/>
      <c r="S3" s="61"/>
    </row>
    <row r="4" spans="1:19" x14ac:dyDescent="0.35">
      <c r="A4" s="61" t="s">
        <v>132</v>
      </c>
      <c r="B4" s="355">
        <f>'[1]2023'!$K$6+'[1]2023'!$K$7</f>
        <v>586740</v>
      </c>
      <c r="C4" s="355">
        <f>'[1]2023'!$M$6+'[1]2023'!$M$7</f>
        <v>455406</v>
      </c>
      <c r="D4" s="355">
        <f>'[2]2022'!$K$6+'[2]2022'!$K$7</f>
        <v>521360</v>
      </c>
      <c r="E4" s="355">
        <f>'[2]2022'!$M$6+'[2]2022'!$M$7</f>
        <v>405888</v>
      </c>
      <c r="F4" s="347">
        <f>'1. studieår'!Y29</f>
        <v>4700</v>
      </c>
      <c r="G4" s="347">
        <f>'1. studieår'!B29-'1. studieår'!Y29</f>
        <v>208</v>
      </c>
      <c r="H4" s="347">
        <f>'1. studieår'!C29</f>
        <v>6615261.568</v>
      </c>
      <c r="I4" s="347">
        <f>H4*0.37</f>
        <v>2447646.7801600001</v>
      </c>
      <c r="J4" s="347">
        <f>I4/50</f>
        <v>48952.9356032</v>
      </c>
      <c r="K4" s="348">
        <f>'[3]Oppsummering '!$D$3</f>
        <v>5804393.6320000002</v>
      </c>
      <c r="L4" s="347">
        <f>K4*0.37</f>
        <v>2147625.64384</v>
      </c>
      <c r="M4" s="347">
        <f>L4/50</f>
        <v>42952.5128768</v>
      </c>
      <c r="N4" s="347">
        <f>F4+G4</f>
        <v>4908</v>
      </c>
      <c r="O4" s="347">
        <f>'[3]Oppsummering '!$H$3</f>
        <v>4274.2790697674418</v>
      </c>
      <c r="P4" s="148">
        <f>B4+H4</f>
        <v>7202001.568</v>
      </c>
      <c r="Q4" s="148">
        <f>D4+K4</f>
        <v>6325753.6320000002</v>
      </c>
      <c r="R4" s="148">
        <f>C4+I4</f>
        <v>2903052.7801600001</v>
      </c>
      <c r="S4" s="148">
        <f>E4+L4</f>
        <v>2553513.64384</v>
      </c>
    </row>
    <row r="5" spans="1:19" x14ac:dyDescent="0.35">
      <c r="A5" s="112" t="s">
        <v>25</v>
      </c>
      <c r="B5" s="355">
        <f>'[1]2023'!$K$8+'[1]2023'!$K$9+'[1]2023'!$K$10</f>
        <v>1173060</v>
      </c>
      <c r="C5" s="355">
        <f>'[1]2023'!$M$8+'[1]2023'!$M$9+'[1]2023'!$M$10+'[1]2023'!$M$11</f>
        <v>1382402</v>
      </c>
      <c r="D5" s="355">
        <f>'[2]2022'!$K$8+'[2]2022'!$K$9+'[2]2022'!$K$10+'[2]2022'!$K$11</f>
        <v>1209040</v>
      </c>
      <c r="E5" s="355">
        <f>'[2]2022'!$M$8+'[2]2022'!$M$9+'[2]2022'!$M$10+'[2]2022'!$M$11</f>
        <v>1000552</v>
      </c>
      <c r="F5" s="347">
        <f>'2. studieår'!T30</f>
        <v>1624</v>
      </c>
      <c r="G5" s="347">
        <f>'2. studieår'!B30-'2. studieår'!T30</f>
        <v>163.39999999999986</v>
      </c>
      <c r="H5" s="347">
        <f>'2. studieår'!C30</f>
        <v>4468500</v>
      </c>
      <c r="I5" s="347">
        <f>H5*0.47</f>
        <v>2100195</v>
      </c>
      <c r="J5" s="347">
        <f>I5/60</f>
        <v>35003.25</v>
      </c>
      <c r="K5" s="348">
        <f>'[3]Oppsummering '!$D$4</f>
        <v>4042860</v>
      </c>
      <c r="L5" s="347">
        <f>K5*0.47</f>
        <v>1900144.2</v>
      </c>
      <c r="M5" s="347">
        <f>L5/60</f>
        <v>31669.07</v>
      </c>
      <c r="N5" s="347">
        <f>F5+G5</f>
        <v>1787.3999999999999</v>
      </c>
      <c r="O5" s="347">
        <f>'[3]Oppsummering '!$H$4</f>
        <v>1880.3999999999999</v>
      </c>
      <c r="P5" s="148">
        <f t="shared" ref="P5:P22" si="0">B5+H5</f>
        <v>5641560</v>
      </c>
      <c r="Q5" s="148">
        <f t="shared" ref="Q5:Q22" si="1">D5+K5</f>
        <v>5251900</v>
      </c>
      <c r="R5" s="148">
        <f t="shared" ref="R5:R10" si="2">C5+I5</f>
        <v>3482597</v>
      </c>
      <c r="S5" s="148">
        <f t="shared" ref="S5:S10" si="3">E5+L5</f>
        <v>2900696.2</v>
      </c>
    </row>
    <row r="6" spans="1:19" x14ac:dyDescent="0.35">
      <c r="A6" s="112" t="s">
        <v>26</v>
      </c>
      <c r="B6" s="355">
        <f>'[1]2023'!$K$11+'[1]2023'!$K$12+'[1]2023'!$K$13</f>
        <v>1383200</v>
      </c>
      <c r="C6" s="355">
        <f>'[1]2023'!$M$12+'[1]2023'!$M$13+'[1]2023'!$M$14</f>
        <v>1131165</v>
      </c>
      <c r="D6" s="355">
        <f>'[2]2022'!$K$12+'[2]2022'!$K$13+'[2]2022'!$K$14</f>
        <v>1327800</v>
      </c>
      <c r="E6" s="355">
        <f>'[2]2022'!$M$12+'[2]2022'!$M$13+'[2]2022'!$M$14</f>
        <v>1128630</v>
      </c>
      <c r="F6" s="347">
        <f>'3. studieår'!U29</f>
        <v>1316</v>
      </c>
      <c r="G6" s="347">
        <f>'3. studieår'!B29-'3. studieår'!U29</f>
        <v>163.74400000000014</v>
      </c>
      <c r="H6" s="347">
        <f>'3. studieår'!C29</f>
        <v>3699360</v>
      </c>
      <c r="I6" s="347">
        <f>H6*0.4</f>
        <v>1479744</v>
      </c>
      <c r="J6" s="347">
        <f>I6/50</f>
        <v>29594.880000000001</v>
      </c>
      <c r="K6" s="348">
        <f>'[3]Oppsummering '!$D$5</f>
        <v>3642100</v>
      </c>
      <c r="L6" s="347">
        <f>K6*0.62</f>
        <v>2258102</v>
      </c>
      <c r="M6" s="347">
        <f>L6/50</f>
        <v>45162.04</v>
      </c>
      <c r="N6" s="347">
        <f>F6+G6</f>
        <v>1479.7440000000001</v>
      </c>
      <c r="O6" s="347">
        <f>'[3]Oppsummering '!$H$5</f>
        <v>1638</v>
      </c>
      <c r="P6" s="148">
        <f t="shared" si="0"/>
        <v>5082560</v>
      </c>
      <c r="Q6" s="148">
        <f t="shared" si="1"/>
        <v>4969900</v>
      </c>
      <c r="R6" s="148">
        <f t="shared" si="2"/>
        <v>2610909</v>
      </c>
      <c r="S6" s="148">
        <f t="shared" si="3"/>
        <v>3386732</v>
      </c>
    </row>
    <row r="7" spans="1:19" x14ac:dyDescent="0.35">
      <c r="A7" s="112" t="s">
        <v>27</v>
      </c>
      <c r="B7" s="355">
        <f>'[1]2023'!$K$14+'[1]2023'!$K$15+'[1]2023'!$K$16</f>
        <v>1231580</v>
      </c>
      <c r="C7" s="355">
        <f>'[1]2023'!$M$15+'[1]2023'!$M$16+'[1]2023'!$M$17</f>
        <v>1837234</v>
      </c>
      <c r="D7" s="355">
        <f>'[2]2022'!$K$15+'[2]2022'!$K$16+'[2]2022'!$K$17</f>
        <v>1077240</v>
      </c>
      <c r="E7" s="355">
        <f>'[2]2022'!$M$15+'[2]2022'!$M$16+'[2]2022'!$M$17</f>
        <v>835181</v>
      </c>
      <c r="F7" s="347">
        <f>'4. studieår'!W30</f>
        <v>1192</v>
      </c>
      <c r="G7" s="347">
        <f>'4. studieår'!B30-'4. studieår'!W30</f>
        <v>239.36000000000035</v>
      </c>
      <c r="H7" s="347">
        <f>'4. studieår'!C30</f>
        <v>3630900</v>
      </c>
      <c r="I7" s="347">
        <f>H7*0.57</f>
        <v>2069612.9999999998</v>
      </c>
      <c r="J7" s="347">
        <f>I7/50</f>
        <v>41392.259999999995</v>
      </c>
      <c r="K7" s="348">
        <f>'[3]Oppsummering '!$D$6</f>
        <v>2967760</v>
      </c>
      <c r="L7" s="347">
        <f>K7*0.57</f>
        <v>1691623.2</v>
      </c>
      <c r="M7" s="347">
        <f>L7/50</f>
        <v>33832.464</v>
      </c>
      <c r="N7" s="347">
        <f>F7+G7</f>
        <v>1431.3600000000004</v>
      </c>
      <c r="O7" s="347">
        <f>'[3]Oppsummering '!$H$6</f>
        <v>1391.9534883720933</v>
      </c>
      <c r="P7" s="148">
        <f t="shared" si="0"/>
        <v>4862480</v>
      </c>
      <c r="Q7" s="148">
        <f t="shared" si="1"/>
        <v>4045000</v>
      </c>
      <c r="R7" s="148">
        <f t="shared" si="2"/>
        <v>3906847</v>
      </c>
      <c r="S7" s="148">
        <f t="shared" si="3"/>
        <v>2526804.2000000002</v>
      </c>
    </row>
    <row r="8" spans="1:19" x14ac:dyDescent="0.35">
      <c r="A8" s="112" t="s">
        <v>167</v>
      </c>
      <c r="B8" s="355">
        <f>'[1]2023'!$K$19+'[1]2023'!$K$20+'[1]2023'!$K$21</f>
        <v>3075900</v>
      </c>
      <c r="C8" s="355">
        <f>'[1]2023'!$M$20+'[1]2023'!$M$21+'[1]2023'!$M$22</f>
        <v>1803180</v>
      </c>
      <c r="D8" s="355">
        <f>'[2]2022'!$K$20+'[2]2022'!$K$21+'[2]2022'!$K$22</f>
        <v>2472300</v>
      </c>
      <c r="E8" s="355">
        <f>'[2]2022'!$M$20+'[2]2022'!$M$21+'[2]2022'!$M$22</f>
        <v>1928260</v>
      </c>
      <c r="F8" s="347">
        <f>Valgemner!D76</f>
        <v>1620</v>
      </c>
      <c r="G8" s="347"/>
      <c r="H8" s="347">
        <f>Valgemner!E76</f>
        <v>3050000</v>
      </c>
      <c r="I8" s="347">
        <f>Valgemner!G76</f>
        <v>527000</v>
      </c>
      <c r="J8" s="347"/>
      <c r="K8" s="348">
        <f>'[3]Oppsummering '!$D$7</f>
        <v>2373600</v>
      </c>
      <c r="L8" s="348">
        <f>'[3]Oppsummering '!$E$7</f>
        <v>411538.66666666663</v>
      </c>
      <c r="M8" s="348"/>
      <c r="N8" s="347">
        <f>F8+G8</f>
        <v>1620</v>
      </c>
      <c r="O8" s="347">
        <f>'[3]Oppsummering '!$H$7</f>
        <v>1504</v>
      </c>
      <c r="P8" s="148">
        <f t="shared" si="0"/>
        <v>6125900</v>
      </c>
      <c r="Q8" s="148">
        <f t="shared" si="1"/>
        <v>4845900</v>
      </c>
      <c r="R8" s="148">
        <f t="shared" si="2"/>
        <v>2330180</v>
      </c>
      <c r="S8" s="148">
        <f t="shared" si="3"/>
        <v>2339798.6666666665</v>
      </c>
    </row>
    <row r="9" spans="1:19" x14ac:dyDescent="0.35">
      <c r="A9" s="112"/>
      <c r="B9" s="356"/>
      <c r="C9" s="356"/>
      <c r="D9" s="356"/>
      <c r="E9" s="356"/>
      <c r="F9" s="347"/>
      <c r="G9" s="347"/>
      <c r="H9" s="347"/>
      <c r="I9" s="347"/>
      <c r="J9" s="347"/>
      <c r="K9" s="347"/>
      <c r="L9" s="349"/>
      <c r="M9" s="349"/>
      <c r="N9" s="347"/>
      <c r="O9" s="347"/>
      <c r="P9" s="61"/>
      <c r="Q9" s="61"/>
      <c r="R9" s="61"/>
      <c r="S9" s="61"/>
    </row>
    <row r="10" spans="1:19" x14ac:dyDescent="0.35">
      <c r="A10" s="112" t="s">
        <v>362</v>
      </c>
      <c r="B10" s="355">
        <f>'[1]2023'!$K$24</f>
        <v>540000</v>
      </c>
      <c r="C10" s="355">
        <f>'[1]2023'!$M$25</f>
        <v>114464</v>
      </c>
      <c r="D10" s="355">
        <f>'[2]2022'!$K$25</f>
        <v>480000</v>
      </c>
      <c r="E10" s="355">
        <f>'[2]2022'!$M$25</f>
        <v>312000</v>
      </c>
      <c r="F10" s="347"/>
      <c r="G10" s="347"/>
      <c r="H10" s="347">
        <f>Diverse!C4</f>
        <v>500000</v>
      </c>
      <c r="I10" s="347">
        <f>H10*0.3</f>
        <v>150000</v>
      </c>
      <c r="J10" s="347"/>
      <c r="K10" s="347">
        <f>'[3]Oppsummering '!$D$9</f>
        <v>500000</v>
      </c>
      <c r="L10" s="347">
        <f>K10*0.3</f>
        <v>150000</v>
      </c>
      <c r="M10" s="347"/>
      <c r="N10" s="347"/>
      <c r="O10" s="347"/>
      <c r="P10" s="148">
        <f t="shared" si="0"/>
        <v>1040000</v>
      </c>
      <c r="Q10" s="148">
        <f t="shared" si="1"/>
        <v>980000</v>
      </c>
      <c r="R10" s="148">
        <f t="shared" si="2"/>
        <v>264464</v>
      </c>
      <c r="S10" s="148">
        <f t="shared" si="3"/>
        <v>462000</v>
      </c>
    </row>
    <row r="11" spans="1:19" x14ac:dyDescent="0.35">
      <c r="A11" s="112" t="s">
        <v>159</v>
      </c>
      <c r="B11" s="355">
        <f>'[1]2023'!$K$23</f>
        <v>58100</v>
      </c>
      <c r="C11" s="355">
        <f>'[1]2023'!$M$24</f>
        <v>351000</v>
      </c>
      <c r="D11" s="355">
        <f>'[2]2022'!$K$24</f>
        <v>56000</v>
      </c>
      <c r="E11" s="355">
        <f>'[2]2022'!$M$24</f>
        <v>22400</v>
      </c>
      <c r="F11" s="347"/>
      <c r="G11" s="347"/>
      <c r="H11" s="347">
        <f>Diverse!C5</f>
        <v>130000</v>
      </c>
      <c r="I11" s="347">
        <f>Diverse!F27</f>
        <v>55000</v>
      </c>
      <c r="J11" s="347"/>
      <c r="K11" s="347">
        <f>'[3]Oppsummering '!$D$10</f>
        <v>116000</v>
      </c>
      <c r="L11" s="347">
        <f>K11*0.2</f>
        <v>23200</v>
      </c>
      <c r="M11" s="347"/>
      <c r="N11" s="347"/>
      <c r="O11" s="347"/>
      <c r="P11" s="148">
        <f t="shared" si="0"/>
        <v>188100</v>
      </c>
      <c r="Q11" s="148">
        <f t="shared" si="1"/>
        <v>172000</v>
      </c>
      <c r="R11" s="148">
        <f t="shared" ref="R11:R23" si="4">C11+I11</f>
        <v>406000</v>
      </c>
      <c r="S11" s="148">
        <f t="shared" ref="S11:S23" si="5">E11+L11</f>
        <v>45600</v>
      </c>
    </row>
    <row r="12" spans="1:19" x14ac:dyDescent="0.35">
      <c r="A12" s="112" t="s">
        <v>22</v>
      </c>
      <c r="B12" s="355">
        <f>'[1]2023'!$K$22</f>
        <v>319200</v>
      </c>
      <c r="C12" s="355">
        <f>'[1]2023'!$M$23</f>
        <v>23240</v>
      </c>
      <c r="D12" s="355">
        <f>'[2]2022'!$K$23</f>
        <v>268000</v>
      </c>
      <c r="E12" s="355">
        <f>'[2]2022'!$M$23</f>
        <v>214400</v>
      </c>
      <c r="F12" s="347"/>
      <c r="G12" s="347"/>
      <c r="H12" s="347">
        <f>Diverse!C6</f>
        <v>145000</v>
      </c>
      <c r="I12" s="347">
        <f>H12*0.3</f>
        <v>43500</v>
      </c>
      <c r="J12" s="347"/>
      <c r="K12" s="347">
        <f>'[3]Oppsummering '!$D$11</f>
        <v>124700</v>
      </c>
      <c r="L12" s="347">
        <f>K12*0.3</f>
        <v>37410</v>
      </c>
      <c r="M12" s="347"/>
      <c r="N12" s="347"/>
      <c r="O12" s="347"/>
      <c r="P12" s="148">
        <f t="shared" si="0"/>
        <v>464200</v>
      </c>
      <c r="Q12" s="148">
        <f t="shared" si="1"/>
        <v>392700</v>
      </c>
      <c r="R12" s="148">
        <f t="shared" si="4"/>
        <v>66740</v>
      </c>
      <c r="S12" s="148">
        <f t="shared" si="5"/>
        <v>251810</v>
      </c>
    </row>
    <row r="13" spans="1:19" x14ac:dyDescent="0.35">
      <c r="A13" s="112" t="s">
        <v>366</v>
      </c>
      <c r="B13" s="355">
        <f>'[1]2023'!$K$17+'[1]2023'!$K$18</f>
        <v>2317080</v>
      </c>
      <c r="C13" s="355">
        <f>'[1]2023'!$M$18+'[1]2023'!$M$19</f>
        <v>1066280</v>
      </c>
      <c r="D13" s="355">
        <f>'[2]2022'!$K$18+'[2]2022'!$K$19</f>
        <v>2277220</v>
      </c>
      <c r="E13" s="355">
        <f>'[2]2022'!$M$18+'[2]2022'!$M$19</f>
        <v>1419905</v>
      </c>
      <c r="F13" s="350">
        <f>(350*15/5)+(45*30/5)</f>
        <v>1320</v>
      </c>
      <c r="G13" s="347"/>
      <c r="H13" s="347">
        <f>F13*324.6*5</f>
        <v>2142360.0000000005</v>
      </c>
      <c r="I13" s="347">
        <f>H13*Diverse!F7</f>
        <v>1071180.0000000002</v>
      </c>
      <c r="J13" s="347"/>
      <c r="K13" s="347">
        <f>'[3]Oppsummering '!$D$12</f>
        <v>2142360.0000000005</v>
      </c>
      <c r="L13" s="347">
        <f>K13*0.7</f>
        <v>1499652.0000000002</v>
      </c>
      <c r="M13" s="347"/>
      <c r="N13" s="351"/>
      <c r="O13" s="351"/>
      <c r="P13" s="148">
        <f t="shared" si="0"/>
        <v>4459440</v>
      </c>
      <c r="Q13" s="148">
        <f t="shared" si="1"/>
        <v>4419580</v>
      </c>
      <c r="R13" s="148">
        <f t="shared" si="4"/>
        <v>2137460</v>
      </c>
      <c r="S13" s="148">
        <f t="shared" si="5"/>
        <v>2919557</v>
      </c>
    </row>
    <row r="14" spans="1:19" x14ac:dyDescent="0.35">
      <c r="A14" s="112" t="s">
        <v>369</v>
      </c>
      <c r="B14" s="355">
        <f>'[1]2023'!$K$28+'[1]2023'!$K$29</f>
        <v>1701660</v>
      </c>
      <c r="C14" s="355">
        <f>'[1]2023'!$M$28+'[1]2023'!$M$29</f>
        <v>1531494</v>
      </c>
      <c r="D14" s="355">
        <f>'[2]2022'!$K$29+'[2]2022'!$K$30</f>
        <v>1613900</v>
      </c>
      <c r="E14" s="355">
        <f>'[2]2022'!$M$29+'[2]2022'!$M$30</f>
        <v>1452510</v>
      </c>
      <c r="F14" s="350"/>
      <c r="G14" s="347"/>
      <c r="H14" s="347"/>
      <c r="I14" s="347"/>
      <c r="J14" s="347"/>
      <c r="K14" s="347"/>
      <c r="L14" s="347"/>
      <c r="M14" s="347"/>
      <c r="N14" s="351"/>
      <c r="O14" s="351"/>
      <c r="P14" s="148">
        <f t="shared" si="0"/>
        <v>1701660</v>
      </c>
      <c r="Q14" s="148">
        <f t="shared" si="1"/>
        <v>1613900</v>
      </c>
      <c r="R14" s="148">
        <f t="shared" si="4"/>
        <v>1531494</v>
      </c>
      <c r="S14" s="148">
        <f t="shared" si="5"/>
        <v>1452510</v>
      </c>
    </row>
    <row r="15" spans="1:19" x14ac:dyDescent="0.35">
      <c r="A15" s="112" t="s">
        <v>294</v>
      </c>
      <c r="B15" s="356"/>
      <c r="C15" s="356"/>
      <c r="D15" s="356"/>
      <c r="E15" s="356"/>
      <c r="F15" s="350"/>
      <c r="G15" s="347"/>
      <c r="H15" s="347">
        <f>Diverse!C8</f>
        <v>495000</v>
      </c>
      <c r="I15" s="347">
        <f t="shared" ref="I15:L16" si="6">H15</f>
        <v>495000</v>
      </c>
      <c r="J15" s="347"/>
      <c r="K15" s="347">
        <f>I15</f>
        <v>495000</v>
      </c>
      <c r="L15" s="347">
        <f t="shared" si="6"/>
        <v>495000</v>
      </c>
      <c r="M15" s="347"/>
      <c r="N15" s="351"/>
      <c r="O15" s="351"/>
      <c r="P15" s="148">
        <f t="shared" si="0"/>
        <v>495000</v>
      </c>
      <c r="Q15" s="148">
        <f t="shared" si="1"/>
        <v>495000</v>
      </c>
      <c r="R15" s="148">
        <f t="shared" si="4"/>
        <v>495000</v>
      </c>
      <c r="S15" s="148">
        <f t="shared" si="5"/>
        <v>495000</v>
      </c>
    </row>
    <row r="16" spans="1:19" x14ac:dyDescent="0.35">
      <c r="A16" s="112" t="s">
        <v>295</v>
      </c>
      <c r="B16" s="356"/>
      <c r="C16" s="356"/>
      <c r="D16" s="356"/>
      <c r="E16" s="356"/>
      <c r="F16" s="350"/>
      <c r="G16" s="347"/>
      <c r="H16" s="347">
        <f>Diverse!C9</f>
        <v>50000</v>
      </c>
      <c r="I16" s="347">
        <f t="shared" si="6"/>
        <v>50000</v>
      </c>
      <c r="J16" s="347"/>
      <c r="K16" s="347">
        <f>I16</f>
        <v>50000</v>
      </c>
      <c r="L16" s="347">
        <f t="shared" si="6"/>
        <v>50000</v>
      </c>
      <c r="M16" s="347"/>
      <c r="N16" s="351"/>
      <c r="O16" s="351"/>
      <c r="P16" s="148">
        <f t="shared" si="0"/>
        <v>50000</v>
      </c>
      <c r="Q16" s="148">
        <f t="shared" si="1"/>
        <v>50000</v>
      </c>
      <c r="R16" s="148">
        <f t="shared" si="4"/>
        <v>50000</v>
      </c>
      <c r="S16" s="148">
        <f t="shared" si="5"/>
        <v>50000</v>
      </c>
    </row>
    <row r="17" spans="1:19" x14ac:dyDescent="0.35">
      <c r="A17" s="112" t="s">
        <v>23</v>
      </c>
      <c r="B17" s="356"/>
      <c r="C17" s="356"/>
      <c r="D17" s="356"/>
      <c r="E17" s="356"/>
      <c r="F17" s="347"/>
      <c r="G17" s="347"/>
      <c r="H17" s="347">
        <f>Diverse!C10</f>
        <v>239500</v>
      </c>
      <c r="I17" s="347">
        <f>H17*0.3</f>
        <v>71850</v>
      </c>
      <c r="J17" s="347"/>
      <c r="K17" s="347">
        <f>'[3]Oppsummering '!$D$15</f>
        <v>239500</v>
      </c>
      <c r="L17" s="347">
        <f>K17*0.3</f>
        <v>71850</v>
      </c>
      <c r="M17" s="347"/>
      <c r="N17" s="347"/>
      <c r="O17" s="347"/>
      <c r="P17" s="148">
        <f t="shared" si="0"/>
        <v>239500</v>
      </c>
      <c r="Q17" s="148">
        <f t="shared" si="1"/>
        <v>239500</v>
      </c>
      <c r="R17" s="148">
        <f t="shared" si="4"/>
        <v>71850</v>
      </c>
      <c r="S17" s="148">
        <f t="shared" si="5"/>
        <v>71850</v>
      </c>
    </row>
    <row r="18" spans="1:19" x14ac:dyDescent="0.35">
      <c r="A18" s="112" t="s">
        <v>238</v>
      </c>
      <c r="B18" s="356"/>
      <c r="C18" s="356"/>
      <c r="D18" s="356"/>
      <c r="E18" s="356"/>
      <c r="F18" s="347"/>
      <c r="G18" s="347"/>
      <c r="H18" s="347">
        <f>Diverse!C11</f>
        <v>100000</v>
      </c>
      <c r="I18" s="347">
        <f>H18*0.3</f>
        <v>30000</v>
      </c>
      <c r="J18" s="347"/>
      <c r="K18" s="347">
        <f>H18</f>
        <v>100000</v>
      </c>
      <c r="L18" s="347">
        <f>K18*0.3</f>
        <v>30000</v>
      </c>
      <c r="M18" s="347"/>
      <c r="N18" s="347"/>
      <c r="O18" s="347"/>
      <c r="P18" s="148">
        <f t="shared" si="0"/>
        <v>100000</v>
      </c>
      <c r="Q18" s="148">
        <f t="shared" si="1"/>
        <v>100000</v>
      </c>
      <c r="R18" s="148">
        <f t="shared" si="4"/>
        <v>30000</v>
      </c>
      <c r="S18" s="148">
        <f t="shared" si="5"/>
        <v>30000</v>
      </c>
    </row>
    <row r="19" spans="1:19" x14ac:dyDescent="0.35">
      <c r="A19" s="342" t="s">
        <v>368</v>
      </c>
      <c r="B19" s="358">
        <f>'[1]2023'!$K$25</f>
        <v>163520</v>
      </c>
      <c r="C19" s="358">
        <f>'[1]2023'!$M$26</f>
        <v>592200</v>
      </c>
      <c r="D19" s="358">
        <f>'[2]2022'!$K$26</f>
        <v>152320</v>
      </c>
      <c r="E19" s="358">
        <f>'[2]2022'!$M$26</f>
        <v>106624</v>
      </c>
      <c r="F19" s="347"/>
      <c r="G19" s="347"/>
      <c r="H19" s="347">
        <f>Diverse!C12</f>
        <v>382700</v>
      </c>
      <c r="I19" s="347">
        <f>H19*Diverse!F12</f>
        <v>38270</v>
      </c>
      <c r="J19" s="347"/>
      <c r="K19" s="347">
        <f>'[3]Oppsummering '!$D$17</f>
        <v>382700</v>
      </c>
      <c r="L19" s="347">
        <f>I19</f>
        <v>38270</v>
      </c>
      <c r="M19" s="347"/>
      <c r="N19" s="347"/>
      <c r="O19" s="347"/>
      <c r="P19" s="148">
        <f t="shared" si="0"/>
        <v>546220</v>
      </c>
      <c r="Q19" s="148">
        <f t="shared" si="1"/>
        <v>535020</v>
      </c>
      <c r="R19" s="148">
        <f t="shared" si="4"/>
        <v>630470</v>
      </c>
      <c r="S19" s="148">
        <f t="shared" si="5"/>
        <v>144894</v>
      </c>
    </row>
    <row r="20" spans="1:19" x14ac:dyDescent="0.35">
      <c r="A20" s="342" t="s">
        <v>367</v>
      </c>
      <c r="B20" s="358">
        <f>'[1]2023'!$K$26+'[1]2023'!$K$27</f>
        <v>1198000</v>
      </c>
      <c r="C20" s="358">
        <f>'[1]2023'!$M$27+'[1]2023'!$M$28</f>
        <v>1691000</v>
      </c>
      <c r="D20" s="358">
        <f>'[2]2022'!$K$27+'[2]2022'!$K$28</f>
        <v>1050000</v>
      </c>
      <c r="E20" s="358">
        <f>'[2]2022'!$M$27+'[2]2022'!$M$28</f>
        <v>768000</v>
      </c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148">
        <f t="shared" si="0"/>
        <v>1198000</v>
      </c>
      <c r="Q20" s="148">
        <f t="shared" si="1"/>
        <v>1050000</v>
      </c>
      <c r="R20" s="148">
        <f t="shared" si="4"/>
        <v>1691000</v>
      </c>
      <c r="S20" s="148">
        <f t="shared" si="5"/>
        <v>768000</v>
      </c>
    </row>
    <row r="21" spans="1:19" x14ac:dyDescent="0.35">
      <c r="A21" s="342" t="s">
        <v>239</v>
      </c>
      <c r="B21" s="357"/>
      <c r="C21" s="357"/>
      <c r="D21" s="357"/>
      <c r="E21" s="357"/>
      <c r="F21" s="347"/>
      <c r="G21" s="347"/>
      <c r="H21" s="347">
        <f>Diverse!C13</f>
        <v>49680</v>
      </c>
      <c r="I21" s="347">
        <f>H21*Diverse!F19</f>
        <v>9936</v>
      </c>
      <c r="J21" s="347"/>
      <c r="K21" s="347">
        <f>[3]Diverse!E19</f>
        <v>49680</v>
      </c>
      <c r="L21" s="347">
        <f>K21*0.2</f>
        <v>9936</v>
      </c>
      <c r="M21" s="347"/>
      <c r="N21" s="347"/>
      <c r="O21" s="347"/>
      <c r="P21" s="148">
        <f t="shared" si="0"/>
        <v>49680</v>
      </c>
      <c r="Q21" s="148">
        <f t="shared" si="1"/>
        <v>49680</v>
      </c>
      <c r="R21" s="148">
        <f t="shared" si="4"/>
        <v>9936</v>
      </c>
      <c r="S21" s="148">
        <f t="shared" si="5"/>
        <v>9936</v>
      </c>
    </row>
    <row r="22" spans="1:19" x14ac:dyDescent="0.35">
      <c r="A22" s="342" t="str">
        <f>Diverse!A20</f>
        <v>TULSA og andre tiltak</v>
      </c>
      <c r="B22" s="357"/>
      <c r="C22" s="357"/>
      <c r="D22" s="357"/>
      <c r="E22" s="357"/>
      <c r="F22" s="347"/>
      <c r="G22" s="347"/>
      <c r="H22" s="347">
        <f>Diverse!C14</f>
        <v>448000</v>
      </c>
      <c r="I22" s="347"/>
      <c r="J22" s="347"/>
      <c r="K22" s="347">
        <f>'[3]Oppsummering '!$D$19</f>
        <v>385280</v>
      </c>
      <c r="L22" s="347"/>
      <c r="M22" s="347"/>
      <c r="N22" s="347"/>
      <c r="O22" s="347"/>
      <c r="P22" s="148">
        <f t="shared" si="0"/>
        <v>448000</v>
      </c>
      <c r="Q22" s="148">
        <f t="shared" si="1"/>
        <v>385280</v>
      </c>
      <c r="R22" s="148">
        <f t="shared" si="4"/>
        <v>0</v>
      </c>
      <c r="S22" s="148">
        <f t="shared" si="5"/>
        <v>0</v>
      </c>
    </row>
    <row r="23" spans="1:19" x14ac:dyDescent="0.35">
      <c r="A23" s="112" t="s">
        <v>31</v>
      </c>
      <c r="B23" s="359">
        <f>SUM(B4:B22)</f>
        <v>13748040</v>
      </c>
      <c r="C23" s="359">
        <f t="shared" ref="C23:E23" si="7">SUM(C4:C22)</f>
        <v>11979065</v>
      </c>
      <c r="D23" s="359">
        <f t="shared" si="7"/>
        <v>12505180</v>
      </c>
      <c r="E23" s="359">
        <f t="shared" si="7"/>
        <v>9594350</v>
      </c>
      <c r="F23" s="352"/>
      <c r="G23" s="352"/>
      <c r="H23" s="353">
        <f>SUM(H4:H22)</f>
        <v>26146261.568</v>
      </c>
      <c r="I23" s="353">
        <f>SUM(I4:I22)</f>
        <v>10638934.780160001</v>
      </c>
      <c r="J23" s="353"/>
      <c r="K23" s="353">
        <f>SUM(K4:K22)</f>
        <v>23415933.631999999</v>
      </c>
      <c r="L23" s="353">
        <f>SUM(L4:L22)</f>
        <v>10814351.710506666</v>
      </c>
      <c r="M23" s="353"/>
      <c r="N23" s="352"/>
      <c r="O23" s="352"/>
      <c r="P23" s="148">
        <f>SUM(P4:P22)</f>
        <v>39894301.568000004</v>
      </c>
      <c r="Q23" s="148">
        <f>SUM(Q4:Q22)</f>
        <v>35921113.631999999</v>
      </c>
      <c r="R23" s="148">
        <f t="shared" si="4"/>
        <v>22617999.780160002</v>
      </c>
      <c r="S23" s="148">
        <f t="shared" si="5"/>
        <v>20408701.710506666</v>
      </c>
    </row>
    <row r="24" spans="1:19" x14ac:dyDescent="0.35">
      <c r="H24" s="174"/>
      <c r="K24" s="174"/>
    </row>
    <row r="25" spans="1:19" x14ac:dyDescent="0.35">
      <c r="A25" s="60" t="s">
        <v>133</v>
      </c>
    </row>
  </sheetData>
  <sheetProtection algorithmName="SHA-512" hashValue="v/FhACehDOaWPAstZLB9biG8N/lQv+f+RdFeyjxEApgcnVKI8RHceCBVGH5SvdUhY9dZbWRDy7Y66O5Imw1ADw==" saltValue="vEgBrZrw0050MKGJEFvJXg==" spinCount="100000" sheet="1" selectLockedCells="1"/>
  <customSheetViews>
    <customSheetView guid="{CB7E9FB3-C7A3-44DE-98E4-19C23B487785}" scale="70" fitToPage="1" hiddenColumns="1">
      <selection activeCell="F13" sqref="F13"/>
      <pageMargins left="0.70866141732283472" right="0.70866141732283472" top="0.78740157480314965" bottom="0.78740157480314965" header="0.31496062992125984" footer="0.31496062992125984"/>
      <pageSetup paperSize="9" scale="44" orientation="portrait" r:id="rId1"/>
      <headerFooter>
        <oddHeader>&amp;CUndervisningsbudsjett 2013 oppsummert</oddHeader>
      </headerFooter>
    </customSheetView>
    <customSheetView guid="{0F10E6D6-430E-4539-8602-E1FCB30ABD1B}" scale="70" fitToPage="1" hiddenColumns="1">
      <selection activeCell="F13" sqref="F13"/>
      <pageMargins left="0.70866141732283472" right="0.70866141732283472" top="0.78740157480314965" bottom="0.78740157480314965" header="0.31496062992125984" footer="0.31496062992125984"/>
      <pageSetup paperSize="9" scale="44" orientation="portrait" r:id="rId2"/>
      <headerFooter>
        <oddHeader>&amp;CUndervisningsbudsjett 2013 oppsummert</oddHeader>
      </headerFooter>
    </customSheetView>
    <customSheetView guid="{6A1E5DF8-D380-4588-9B84-662BAE41D0D9}" scale="70" fitToPage="1">
      <selection activeCell="F13" sqref="F13"/>
      <pageMargins left="0.70866141732283472" right="0.70866141732283472" top="0.78740157480314965" bottom="0.78740157480314965" header="0.31496062992125984" footer="0.31496062992125984"/>
      <pageSetup paperSize="9" scale="44" orientation="portrait" r:id="rId3"/>
      <headerFooter>
        <oddHeader>&amp;CUndervisningsbudsjett 2013 oppsummert</oddHeader>
      </headerFooter>
    </customSheetView>
    <customSheetView guid="{C3BF634C-AA16-4BD6-93CF-AD12048346B7}" scale="70" fitToPage="1">
      <selection activeCell="F13" sqref="F13"/>
      <pageMargins left="0.70866141732283472" right="0.70866141732283472" top="0.78740157480314965" bottom="0.78740157480314965" header="0.31496062992125984" footer="0.31496062992125984"/>
      <pageSetup paperSize="9" scale="44" orientation="portrait" r:id="rId4"/>
      <headerFooter>
        <oddHeader>&amp;CUndervisningsbudsjett 2013 oppsummert</oddHeader>
      </headerFooter>
    </customSheetView>
    <customSheetView guid="{2A2C752C-8C42-4F9A-A40C-FE7F7014F210}" scale="7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4" orientation="portrait" r:id="rId5"/>
      <headerFooter>
        <oddHeader>&amp;CUndervisningsbudsjett 2013 oppsummert</oddHeader>
      </headerFooter>
    </customSheetView>
    <customSheetView guid="{AC2983A2-F978-40B7-A196-35F34E705157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6"/>
      <headerFooter>
        <oddHeader>&amp;CUndervisningsbudsjett 2013 oppsummert</oddHeader>
      </headerFooter>
    </customSheetView>
    <customSheetView guid="{749D43A3-052D-442F-AE88-F6CCB83A1282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7"/>
      <headerFooter>
        <oddHeader>&amp;CUndervisningsbudsjett 2013 oppsummert</oddHeader>
      </headerFooter>
    </customSheetView>
    <customSheetView guid="{F38A39FA-EF57-4062-A2AD-F3BEB88C5762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8"/>
      <headerFooter>
        <oddHeader>&amp;CUndervisningsbudsjett 2013 oppsummert</oddHeader>
      </headerFooter>
    </customSheetView>
    <customSheetView guid="{83C69039-3E29-46E1-85FB-B9165E0BFA91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59" orientation="landscape" r:id="rId9"/>
      <headerFooter>
        <oddHeader>&amp;CUndervisningsbudsjett 2013 oppsummert</oddHeader>
      </headerFooter>
    </customSheetView>
    <customSheetView guid="{C1FECEF4-D739-4F39-9B89-CF4C04A77A9B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10"/>
      <headerFooter>
        <oddHeader>&amp;CUndervisningsbudsjett 2013 oppsummert</oddHeader>
      </headerFooter>
    </customSheetView>
    <customSheetView guid="{91227156-ECBD-48FD-8964-78F3608400FC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11"/>
      <headerFooter>
        <oddHeader>&amp;CUndervisningsbudsjett 2013 oppsummert</oddHeader>
      </headerFooter>
    </customSheetView>
    <customSheetView guid="{B76C0EA9-E79B-4DA2-9ADE-66DB47109F8F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12"/>
      <headerFooter>
        <oddHeader>&amp;CUndervisningsbudsjett 2013 oppsummert</oddHeader>
      </headerFooter>
    </customSheetView>
    <customSheetView guid="{726FF687-50E0-4F8A-BCCB-6DA9E6D367D4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13"/>
      <headerFooter>
        <oddHeader>&amp;CUndervisningsbudsjett 2013 oppsummert</oddHeader>
      </headerFooter>
    </customSheetView>
    <customSheetView guid="{BB9ED292-532F-438C-A4A6-F8D66D70E0E7}" scale="80" fitToPage="1">
      <selection activeCell="A2" sqref="A2"/>
      <pageMargins left="0.70866141732283472" right="0.70866141732283472" top="0.78740157480314965" bottom="0.78740157480314965" header="0.31496062992125984" footer="0.31496062992125984"/>
      <pageSetup paperSize="9" scale="85" orientation="portrait" r:id="rId14"/>
      <headerFooter>
        <oddHeader>&amp;CUndervisningsbudsjett 2013 oppsummert</oddHeader>
      </headerFooter>
    </customSheetView>
    <customSheetView guid="{7AE955BB-7BF8-4CA4-ABF1-6A0BB53A48AD}" scale="80" fitToPage="1">
      <selection activeCell="F16" sqref="F16"/>
      <pageMargins left="0.70866141732283472" right="0.70866141732283472" top="0.78740157480314965" bottom="0.78740157480314965" header="0.31496062992125984" footer="0.31496062992125984"/>
      <pageSetup paperSize="9" scale="85" orientation="portrait" r:id="rId15"/>
      <headerFooter>
        <oddHeader>&amp;CUndervisningsbudsjett 2013 oppsummert</oddHeader>
      </headerFooter>
    </customSheetView>
    <customSheetView guid="{43EFFC0A-CCC0-43DD-A273-4AF58757EC00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16"/>
      <headerFooter>
        <oddHeader>&amp;CUndervisningsbudsjett 2013 oppsummert</oddHeader>
      </headerFooter>
    </customSheetView>
    <customSheetView guid="{E5349645-7714-4437-B9BC-26ED822E5BC5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17"/>
      <headerFooter>
        <oddHeader>&amp;CUndervisningsbudsjett 2013 oppsummert</oddHeader>
      </headerFooter>
    </customSheetView>
    <customSheetView guid="{46AB9545-8BEE-4A2F-B820-9F80AC24A11B}" scale="80" fitToPage="1" topLeftCell="A16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18"/>
      <headerFooter>
        <oddHeader>&amp;CUndervisningsbudsjett 2013 oppsummert</oddHeader>
      </headerFooter>
    </customSheetView>
    <customSheetView guid="{F727610F-D041-4412-A81F-AFD013C44971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19"/>
      <headerFooter>
        <oddHeader>&amp;CUndervisningsbudsjett 2013 oppsummert</oddHeader>
      </headerFooter>
    </customSheetView>
    <customSheetView guid="{F170D8DF-3539-4353-BD8B-1F5EB452DAE5}" scale="8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20"/>
      <headerFooter>
        <oddHeader>&amp;CUndervisningsbudsjett 2013 oppsummert</oddHeader>
      </headerFooter>
    </customSheetView>
    <customSheetView guid="{1283C6B5-B05C-447B-8854-CDB081C03FD4}" scale="7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21"/>
      <headerFooter>
        <oddHeader>&amp;CUndervisningsbudsjett 2013 oppsummert</oddHeader>
      </headerFooter>
    </customSheetView>
    <customSheetView guid="{37BC2192-ABF8-4439-93C4-8E65E7EF90F5}" scale="7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22"/>
      <headerFooter>
        <oddHeader>&amp;CUndervisningsbudsjett 2013 oppsummert</oddHeader>
      </headerFooter>
    </customSheetView>
    <customSheetView guid="{7084DC93-B2BE-4098-87E1-DAC5FBCE0E0A}" scale="70" fitToPage="1">
      <selection activeCell="B12" sqref="B12"/>
      <pageMargins left="0.70866141732283472" right="0.70866141732283472" top="0.78740157480314965" bottom="0.78740157480314965" header="0.31496062992125984" footer="0.31496062992125984"/>
      <pageSetup paperSize="9" scale="45" orientation="portrait" r:id="rId23"/>
      <headerFooter>
        <oddHeader>&amp;CUndervisningsbudsjett 2013 oppsummert</oddHeader>
      </headerFooter>
    </customSheetView>
    <customSheetView guid="{0E885D9C-CD7C-4655-8709-41793617E0A7}" scale="70" fitToPage="1">
      <selection activeCell="F13" sqref="F13"/>
      <pageMargins left="0.70866141732283472" right="0.70866141732283472" top="0.78740157480314965" bottom="0.78740157480314965" header="0.31496062992125984" footer="0.31496062992125984"/>
      <pageSetup paperSize="9" scale="44" orientation="portrait" r:id="rId24"/>
      <headerFooter>
        <oddHeader>&amp;CUndervisningsbudsjett 2013 oppsummert</oddHeader>
      </headerFooter>
    </customSheetView>
    <customSheetView guid="{B711C9DF-E741-4A27-9293-4E9F012F3AC0}" scale="70" fitToPage="1">
      <selection activeCell="F13" sqref="F13"/>
      <pageMargins left="0.70866141732283472" right="0.70866141732283472" top="0.78740157480314965" bottom="0.78740157480314965" header="0.31496062992125984" footer="0.31496062992125984"/>
      <pageSetup paperSize="9" scale="44" orientation="portrait" r:id="rId25"/>
      <headerFooter>
        <oddHeader>&amp;CUndervisningsbudsjett 2013 oppsummert</oddHeader>
      </headerFooter>
    </customSheetView>
    <customSheetView guid="{1241DC17-BD41-46C5-9DB1-684763A09F24}" scale="70" fitToPage="1" hiddenColumns="1">
      <selection activeCell="F13" sqref="F13"/>
      <pageMargins left="0.70866141732283472" right="0.70866141732283472" top="0.78740157480314965" bottom="0.78740157480314965" header="0.31496062992125984" footer="0.31496062992125984"/>
      <pageSetup paperSize="9" scale="44" orientation="portrait" r:id="rId26"/>
      <headerFooter>
        <oddHeader>&amp;CUndervisningsbudsjett 2013 oppsummert</oddHeader>
      </headerFooter>
    </customSheetView>
  </customSheetViews>
  <mergeCells count="8">
    <mergeCell ref="R1:S1"/>
    <mergeCell ref="P1:Q1"/>
    <mergeCell ref="F2:I2"/>
    <mergeCell ref="K2:L2"/>
    <mergeCell ref="B1:E1"/>
    <mergeCell ref="F1:O1"/>
    <mergeCell ref="B2:C2"/>
    <mergeCell ref="D2:E2"/>
  </mergeCells>
  <pageMargins left="0.70866141732283472" right="0.70866141732283472" top="0.78740157480314965" bottom="0.78740157480314965" header="0.31496062992125984" footer="0.31496062992125984"/>
  <pageSetup paperSize="9" scale="44" orientation="portrait" r:id="rId27"/>
  <headerFooter>
    <oddHeader>&amp;CUndervisningsbudsjett 2013 oppsummert</oddHeader>
  </headerFooter>
  <drawing r:id="rId2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29"/>
  <sheetViews>
    <sheetView workbookViewId="0">
      <selection activeCell="L20" sqref="L20"/>
    </sheetView>
  </sheetViews>
  <sheetFormatPr baseColWidth="10" defaultColWidth="11.42578125" defaultRowHeight="15" x14ac:dyDescent="0.25"/>
  <cols>
    <col min="1" max="2" width="9.140625" customWidth="1"/>
    <col min="3" max="3" width="13.140625" bestFit="1" customWidth="1"/>
    <col min="4" max="8" width="9.140625" customWidth="1"/>
    <col min="9" max="9" width="12.140625" customWidth="1"/>
    <col min="10" max="10" width="34.85546875" bestFit="1" customWidth="1"/>
    <col min="11" max="253" width="9.140625" customWidth="1"/>
  </cols>
  <sheetData>
    <row r="1" spans="1:15" x14ac:dyDescent="0.25">
      <c r="A1" s="26"/>
      <c r="B1" s="26"/>
      <c r="C1" s="28"/>
      <c r="D1" s="27"/>
      <c r="E1" s="27"/>
      <c r="F1" s="27"/>
      <c r="G1" s="27"/>
      <c r="H1" s="27"/>
      <c r="I1" s="27"/>
      <c r="J1" s="29"/>
      <c r="K1" s="411" t="s">
        <v>33</v>
      </c>
      <c r="L1" s="411"/>
      <c r="M1" s="411"/>
      <c r="N1" s="411"/>
      <c r="O1" s="411"/>
    </row>
    <row r="2" spans="1:15" x14ac:dyDescent="0.25">
      <c r="A2" s="30"/>
      <c r="B2" s="30"/>
      <c r="C2" s="30"/>
      <c r="D2" s="31"/>
      <c r="E2" s="30"/>
      <c r="F2" s="30"/>
      <c r="G2" s="30"/>
      <c r="H2" s="32"/>
      <c r="I2" s="32"/>
      <c r="J2" s="27"/>
      <c r="K2" s="33">
        <v>2023</v>
      </c>
      <c r="L2" s="33">
        <v>2024</v>
      </c>
      <c r="M2" s="33">
        <v>2025</v>
      </c>
      <c r="N2" s="33">
        <v>2026</v>
      </c>
      <c r="O2" s="33">
        <v>2027</v>
      </c>
    </row>
    <row r="3" spans="1:15" ht="33.75" x14ac:dyDescent="0.25">
      <c r="A3" s="34" t="s">
        <v>296</v>
      </c>
      <c r="B3" s="34" t="s">
        <v>34</v>
      </c>
      <c r="C3" s="34" t="s">
        <v>266</v>
      </c>
      <c r="D3" s="34" t="s">
        <v>35</v>
      </c>
      <c r="E3" s="34" t="s">
        <v>297</v>
      </c>
      <c r="F3" s="34" t="s">
        <v>298</v>
      </c>
      <c r="G3" s="34" t="s">
        <v>299</v>
      </c>
      <c r="H3" s="34" t="s">
        <v>305</v>
      </c>
      <c r="I3" s="34" t="s">
        <v>306</v>
      </c>
      <c r="J3" s="34" t="s">
        <v>300</v>
      </c>
      <c r="K3" s="35" t="s">
        <v>36</v>
      </c>
      <c r="L3" s="35" t="s">
        <v>36</v>
      </c>
      <c r="M3" s="35" t="s">
        <v>36</v>
      </c>
      <c r="N3" s="36" t="s">
        <v>36</v>
      </c>
      <c r="O3" s="36" t="s">
        <v>36</v>
      </c>
    </row>
    <row r="4" spans="1:15" x14ac:dyDescent="0.25">
      <c r="A4" s="181">
        <v>5110</v>
      </c>
      <c r="B4" s="181">
        <v>12003500</v>
      </c>
      <c r="C4" s="248">
        <f>'1. studieår'!AE8</f>
        <v>102562101</v>
      </c>
      <c r="D4" s="182">
        <v>102562</v>
      </c>
      <c r="E4" s="181"/>
      <c r="F4" s="181"/>
      <c r="G4" s="181"/>
      <c r="H4" s="183"/>
      <c r="I4" s="260">
        <f>'1. studieår'!AE30*'1. studieår'!I3</f>
        <v>0</v>
      </c>
      <c r="J4" s="235" t="s">
        <v>267</v>
      </c>
      <c r="K4" s="38">
        <f>'1. studieår'!AE30</f>
        <v>0</v>
      </c>
      <c r="L4" s="38">
        <v>0</v>
      </c>
      <c r="M4" s="38">
        <v>0</v>
      </c>
      <c r="N4" s="38">
        <v>0</v>
      </c>
      <c r="O4" s="38">
        <v>0</v>
      </c>
    </row>
    <row r="5" spans="1:15" x14ac:dyDescent="0.25">
      <c r="A5" s="181">
        <v>5110</v>
      </c>
      <c r="B5" s="181">
        <v>12003500</v>
      </c>
      <c r="C5" s="249">
        <f>'1. studieår'!AF8</f>
        <v>102562102</v>
      </c>
      <c r="D5" s="182">
        <v>102562</v>
      </c>
      <c r="E5" s="181"/>
      <c r="F5" s="259" t="s">
        <v>301</v>
      </c>
      <c r="G5" s="181"/>
      <c r="H5" s="183"/>
      <c r="I5" s="260">
        <f>'1. studieår'!C18</f>
        <v>1114103.808</v>
      </c>
      <c r="J5" s="39" t="s">
        <v>37</v>
      </c>
      <c r="K5" s="38">
        <f>'1. studieår'!B18</f>
        <v>2592</v>
      </c>
      <c r="L5" s="38">
        <v>2592</v>
      </c>
      <c r="M5" s="38">
        <v>2592</v>
      </c>
      <c r="N5" s="38">
        <v>2592</v>
      </c>
      <c r="O5" s="38">
        <v>2592</v>
      </c>
    </row>
    <row r="6" spans="1:15" x14ac:dyDescent="0.25">
      <c r="A6" s="181">
        <v>5110</v>
      </c>
      <c r="B6" s="181">
        <v>12003500</v>
      </c>
      <c r="C6" s="251">
        <f>'1. studieår'!AF8</f>
        <v>102562102</v>
      </c>
      <c r="D6" s="182">
        <v>102562</v>
      </c>
      <c r="E6" s="181"/>
      <c r="F6" s="259" t="s">
        <v>302</v>
      </c>
      <c r="G6" s="181"/>
      <c r="H6" s="183"/>
      <c r="I6" s="260">
        <f>'1. studieår'!AF29*'1. studieår'!I3</f>
        <v>1545000</v>
      </c>
      <c r="J6" s="235" t="s">
        <v>44</v>
      </c>
      <c r="K6" s="38">
        <f>'1. studieår'!AF30</f>
        <v>3090</v>
      </c>
      <c r="L6" s="38">
        <v>3090</v>
      </c>
      <c r="M6" s="38">
        <v>3090</v>
      </c>
      <c r="N6" s="38">
        <v>3090</v>
      </c>
      <c r="O6" s="38">
        <v>3090</v>
      </c>
    </row>
    <row r="7" spans="1:15" x14ac:dyDescent="0.25">
      <c r="A7" s="181">
        <v>5110</v>
      </c>
      <c r="B7" s="181">
        <v>12003500</v>
      </c>
      <c r="C7" s="249">
        <f>'1. studieår'!AI8</f>
        <v>102562104</v>
      </c>
      <c r="D7" s="182">
        <v>102562</v>
      </c>
      <c r="E7" s="181"/>
      <c r="F7" s="181"/>
      <c r="G7" s="181"/>
      <c r="H7" s="183"/>
      <c r="I7" s="260">
        <f>'1. studieår'!AI29*'1. studieår'!I3</f>
        <v>764705.8823529412</v>
      </c>
      <c r="J7" s="235" t="s">
        <v>46</v>
      </c>
      <c r="K7" s="38">
        <f>'1. studieår'!AI30</f>
        <v>1529.4117647058824</v>
      </c>
      <c r="L7" s="38">
        <v>1529.4117647058824</v>
      </c>
      <c r="M7" s="38">
        <v>1529.4117647058824</v>
      </c>
      <c r="N7" s="38">
        <v>1529.4117647058824</v>
      </c>
      <c r="O7" s="38">
        <v>1529.4117647058824</v>
      </c>
    </row>
    <row r="8" spans="1:15" x14ac:dyDescent="0.25">
      <c r="A8" s="181">
        <v>5110</v>
      </c>
      <c r="B8" s="181">
        <v>12003500</v>
      </c>
      <c r="C8" s="249">
        <f>'2. studieår'!AH5</f>
        <v>102562201</v>
      </c>
      <c r="D8" s="182">
        <v>102562</v>
      </c>
      <c r="E8" s="181"/>
      <c r="F8" s="181"/>
      <c r="G8" s="181"/>
      <c r="H8" s="183"/>
      <c r="I8" s="260">
        <f>'2. studieår'!AH30*'2. studieår'!G1</f>
        <v>30000</v>
      </c>
      <c r="J8" s="235" t="s">
        <v>267</v>
      </c>
      <c r="K8" s="38">
        <f>'2. studieår'!AH31</f>
        <v>60</v>
      </c>
      <c r="L8" s="38">
        <v>60</v>
      </c>
      <c r="M8" s="38">
        <v>60</v>
      </c>
      <c r="N8" s="38">
        <v>60</v>
      </c>
      <c r="O8" s="38">
        <v>60</v>
      </c>
    </row>
    <row r="9" spans="1:15" x14ac:dyDescent="0.25">
      <c r="A9" s="181">
        <v>5110</v>
      </c>
      <c r="B9" s="181">
        <v>12003500</v>
      </c>
      <c r="C9" s="249">
        <f>'2. studieår'!AI5</f>
        <v>102562202</v>
      </c>
      <c r="D9" s="182">
        <v>102562</v>
      </c>
      <c r="E9" s="181"/>
      <c r="F9" s="181"/>
      <c r="G9" s="181"/>
      <c r="H9" s="183"/>
      <c r="I9" s="260">
        <f>'2. studieår'!AI30*'2. studieår'!G1</f>
        <v>1190000</v>
      </c>
      <c r="J9" s="235" t="s">
        <v>44</v>
      </c>
      <c r="K9" s="38">
        <f>'2. studieår'!AI31</f>
        <v>2380</v>
      </c>
      <c r="L9" s="38">
        <v>2380</v>
      </c>
      <c r="M9" s="38">
        <v>2380</v>
      </c>
      <c r="N9" s="38">
        <v>2380</v>
      </c>
      <c r="O9" s="38">
        <v>2380</v>
      </c>
    </row>
    <row r="10" spans="1:15" x14ac:dyDescent="0.25">
      <c r="A10" s="181">
        <v>5110</v>
      </c>
      <c r="B10" s="181">
        <v>12003500</v>
      </c>
      <c r="C10" s="249">
        <f>'2. studieår'!AM5</f>
        <v>102562204</v>
      </c>
      <c r="D10" s="182">
        <v>102562</v>
      </c>
      <c r="E10" s="181"/>
      <c r="F10" s="181"/>
      <c r="G10" s="181"/>
      <c r="H10" s="183"/>
      <c r="I10" s="260">
        <f>'2. studieår'!AM30*'2. studieår'!G1</f>
        <v>602000</v>
      </c>
      <c r="J10" s="235" t="s">
        <v>46</v>
      </c>
      <c r="K10" s="38">
        <f>'2. studieår'!AM31</f>
        <v>1204</v>
      </c>
      <c r="L10" s="38">
        <v>1204</v>
      </c>
      <c r="M10" s="38">
        <v>1204</v>
      </c>
      <c r="N10" s="38">
        <v>1204</v>
      </c>
      <c r="O10" s="38">
        <v>1204</v>
      </c>
    </row>
    <row r="11" spans="1:15" x14ac:dyDescent="0.25">
      <c r="A11" s="181">
        <v>5110</v>
      </c>
      <c r="B11" s="181">
        <v>12003500</v>
      </c>
      <c r="C11" s="249">
        <f>'3. studieår'!AI6</f>
        <v>102562302</v>
      </c>
      <c r="D11" s="182">
        <v>102562</v>
      </c>
      <c r="E11" s="181"/>
      <c r="F11" s="259" t="s">
        <v>301</v>
      </c>
      <c r="G11" s="181"/>
      <c r="H11" s="183"/>
      <c r="I11" s="260">
        <f>'3. studieår'!AI29*'3. studieår'!G1</f>
        <v>0</v>
      </c>
      <c r="J11" s="235" t="s">
        <v>267</v>
      </c>
      <c r="K11" s="38">
        <f>'3. studieår'!AI30</f>
        <v>0</v>
      </c>
      <c r="L11" s="38">
        <v>0</v>
      </c>
      <c r="M11" s="38">
        <v>0</v>
      </c>
      <c r="N11" s="38">
        <v>0</v>
      </c>
      <c r="O11" s="38">
        <v>0</v>
      </c>
    </row>
    <row r="12" spans="1:15" x14ac:dyDescent="0.25">
      <c r="A12" s="181">
        <v>5110</v>
      </c>
      <c r="B12" s="181">
        <v>12003500</v>
      </c>
      <c r="C12" s="249">
        <f>'3. studieår'!AJ6</f>
        <v>102562302</v>
      </c>
      <c r="D12" s="182">
        <v>102562</v>
      </c>
      <c r="E12" s="181"/>
      <c r="F12" s="259" t="s">
        <v>302</v>
      </c>
      <c r="G12" s="181"/>
      <c r="H12" s="183"/>
      <c r="I12" s="260">
        <f>'3. studieår'!AJ29*'3. studieår'!G1</f>
        <v>650000</v>
      </c>
      <c r="J12" s="235" t="s">
        <v>44</v>
      </c>
      <c r="K12" s="38">
        <f>'3. studieår'!AJ30</f>
        <v>1300</v>
      </c>
      <c r="L12" s="38">
        <v>1300</v>
      </c>
      <c r="M12" s="38">
        <v>1300</v>
      </c>
      <c r="N12" s="38">
        <v>1300</v>
      </c>
      <c r="O12" s="38">
        <v>1300</v>
      </c>
    </row>
    <row r="13" spans="1:15" x14ac:dyDescent="0.25">
      <c r="A13" s="181">
        <v>5110</v>
      </c>
      <c r="B13" s="181">
        <v>12003500</v>
      </c>
      <c r="C13" s="249">
        <f>'3. studieår'!AM6</f>
        <v>102562304</v>
      </c>
      <c r="D13" s="182">
        <v>102562</v>
      </c>
      <c r="E13" s="181"/>
      <c r="F13" s="181"/>
      <c r="G13" s="181"/>
      <c r="H13" s="183"/>
      <c r="I13" s="260">
        <f>'3. studieår'!AM29*'3. studieår'!G1</f>
        <v>602000</v>
      </c>
      <c r="J13" s="235" t="s">
        <v>46</v>
      </c>
      <c r="K13" s="38">
        <f>'3. studieår'!AM30</f>
        <v>1204</v>
      </c>
      <c r="L13" s="38">
        <v>1204</v>
      </c>
      <c r="M13" s="38">
        <v>1204</v>
      </c>
      <c r="N13" s="38">
        <v>1204</v>
      </c>
      <c r="O13" s="38">
        <v>1204</v>
      </c>
    </row>
    <row r="14" spans="1:15" x14ac:dyDescent="0.25">
      <c r="A14" s="181">
        <v>5110</v>
      </c>
      <c r="B14" s="181">
        <v>12003500</v>
      </c>
      <c r="C14" s="249">
        <f>'4. studieår'!AO7</f>
        <v>102562401</v>
      </c>
      <c r="D14" s="182">
        <v>102562</v>
      </c>
      <c r="E14" s="181"/>
      <c r="F14" s="181"/>
      <c r="G14" s="181"/>
      <c r="H14" s="183"/>
      <c r="I14" s="260">
        <f>'4. studieår'!AO30*'4. studieår'!G1</f>
        <v>85000</v>
      </c>
      <c r="J14" s="235" t="s">
        <v>267</v>
      </c>
      <c r="K14" s="38">
        <f>'4. studieår'!AO31</f>
        <v>170</v>
      </c>
      <c r="L14" s="38">
        <v>170</v>
      </c>
      <c r="M14" s="38">
        <v>170</v>
      </c>
      <c r="N14" s="38">
        <v>170</v>
      </c>
      <c r="O14" s="38">
        <v>170</v>
      </c>
    </row>
    <row r="15" spans="1:15" x14ac:dyDescent="0.25">
      <c r="A15" s="181">
        <v>5110</v>
      </c>
      <c r="B15" s="181">
        <v>12003500</v>
      </c>
      <c r="C15" s="249">
        <f>'4. studieår'!AP7</f>
        <v>102562402</v>
      </c>
      <c r="D15" s="182">
        <v>102562</v>
      </c>
      <c r="E15" s="181"/>
      <c r="F15" s="181"/>
      <c r="G15" s="181"/>
      <c r="H15" s="183"/>
      <c r="I15" s="260">
        <f>'4. studieår'!AP30*'4. studieår'!G1</f>
        <v>830000</v>
      </c>
      <c r="J15" s="235" t="s">
        <v>44</v>
      </c>
      <c r="K15" s="38">
        <f>'4. studieår'!AP31</f>
        <v>1660</v>
      </c>
      <c r="L15" s="38">
        <v>1660</v>
      </c>
      <c r="M15" s="38">
        <v>1660</v>
      </c>
      <c r="N15" s="38">
        <v>1660</v>
      </c>
      <c r="O15" s="38">
        <v>1660</v>
      </c>
    </row>
    <row r="16" spans="1:15" x14ac:dyDescent="0.25">
      <c r="A16" s="181">
        <v>5110</v>
      </c>
      <c r="B16" s="181">
        <v>12003500</v>
      </c>
      <c r="C16" s="249">
        <f>'4. studieår'!AT7</f>
        <v>102562404</v>
      </c>
      <c r="D16" s="182">
        <v>102562</v>
      </c>
      <c r="E16" s="181"/>
      <c r="F16" s="181"/>
      <c r="G16" s="181"/>
      <c r="H16" s="183"/>
      <c r="I16" s="260">
        <f>'4. studieår'!AT30*'4. studieår'!G1</f>
        <v>550000</v>
      </c>
      <c r="J16" s="235" t="s">
        <v>46</v>
      </c>
      <c r="K16" s="38">
        <f>'4. studieår'!AT31</f>
        <v>1100</v>
      </c>
      <c r="L16" s="38">
        <v>1100</v>
      </c>
      <c r="M16" s="38">
        <v>1100</v>
      </c>
      <c r="N16" s="38">
        <v>1100</v>
      </c>
      <c r="O16" s="38">
        <v>1100</v>
      </c>
    </row>
    <row r="17" spans="1:15" x14ac:dyDescent="0.25">
      <c r="A17" s="181">
        <v>5110</v>
      </c>
      <c r="B17" s="181">
        <v>12003500</v>
      </c>
      <c r="C17" s="249">
        <v>102562501</v>
      </c>
      <c r="D17" s="182">
        <v>102562</v>
      </c>
      <c r="E17" s="181"/>
      <c r="F17" s="181"/>
      <c r="G17" s="181"/>
      <c r="H17" s="181"/>
      <c r="I17" s="260">
        <f>Valgemner!F76*Valgemner!B2</f>
        <v>527000</v>
      </c>
      <c r="J17" s="188" t="s">
        <v>267</v>
      </c>
      <c r="K17" s="38">
        <f>Valgemner!F76*5</f>
        <v>1054</v>
      </c>
      <c r="L17" s="38">
        <v>1054</v>
      </c>
      <c r="M17" s="38">
        <v>1054</v>
      </c>
      <c r="N17" s="38">
        <v>1054</v>
      </c>
      <c r="O17" s="38">
        <v>1054</v>
      </c>
    </row>
    <row r="18" spans="1:15" x14ac:dyDescent="0.25">
      <c r="A18" s="181">
        <v>5110</v>
      </c>
      <c r="B18" s="181">
        <v>12003500</v>
      </c>
      <c r="C18" s="249">
        <v>102562601</v>
      </c>
      <c r="D18" s="182">
        <v>102562</v>
      </c>
      <c r="E18" s="181"/>
      <c r="F18" s="259" t="s">
        <v>303</v>
      </c>
      <c r="G18" s="181"/>
      <c r="H18" s="181"/>
      <c r="I18" s="260">
        <f>'Oppsummering '!I21</f>
        <v>9936</v>
      </c>
      <c r="J18" s="188" t="s">
        <v>198</v>
      </c>
      <c r="K18" s="38">
        <f>'Oppsummering '!I21/Diverse!B19</f>
        <v>54</v>
      </c>
      <c r="L18" s="38">
        <v>54</v>
      </c>
      <c r="M18" s="38">
        <v>54</v>
      </c>
      <c r="N18" s="38">
        <v>54</v>
      </c>
      <c r="O18" s="38">
        <v>54</v>
      </c>
    </row>
    <row r="19" spans="1:15" x14ac:dyDescent="0.25">
      <c r="A19" s="181">
        <v>5110</v>
      </c>
      <c r="B19" s="181">
        <v>12003500</v>
      </c>
      <c r="C19" s="249">
        <v>102562503</v>
      </c>
      <c r="D19" s="182">
        <v>102562</v>
      </c>
      <c r="E19" s="181"/>
      <c r="F19" s="181"/>
      <c r="G19" s="181"/>
      <c r="H19" s="181"/>
      <c r="I19" s="260">
        <f>'Oppsummering '!I13</f>
        <v>1071180.0000000002</v>
      </c>
      <c r="J19" s="37" t="s">
        <v>157</v>
      </c>
      <c r="K19" s="38">
        <f>'Oppsummering '!I13/(Valgemner!B2/5)</f>
        <v>2142.3600000000006</v>
      </c>
      <c r="L19" s="38">
        <v>2142.3600000000006</v>
      </c>
      <c r="M19" s="38">
        <v>2142.3600000000006</v>
      </c>
      <c r="N19" s="38">
        <v>2142.3600000000006</v>
      </c>
      <c r="O19" s="38">
        <v>2142.3600000000006</v>
      </c>
    </row>
    <row r="20" spans="1:15" x14ac:dyDescent="0.25">
      <c r="A20" s="181">
        <v>5110</v>
      </c>
      <c r="B20" s="181">
        <v>12003500</v>
      </c>
      <c r="C20" s="249">
        <v>102562021</v>
      </c>
      <c r="D20" s="182">
        <v>102562</v>
      </c>
      <c r="E20" s="181"/>
      <c r="F20" s="181"/>
      <c r="G20" s="181"/>
      <c r="H20" s="181"/>
      <c r="I20" s="260">
        <f>'Oppsummering '!I10</f>
        <v>150000</v>
      </c>
      <c r="J20" s="37" t="s">
        <v>154</v>
      </c>
      <c r="K20" s="38">
        <f>'Oppsummering '!I10/(Valgemner!B2/5)</f>
        <v>300</v>
      </c>
      <c r="L20" s="38">
        <v>300</v>
      </c>
      <c r="M20" s="38">
        <v>300</v>
      </c>
      <c r="N20" s="38">
        <v>300</v>
      </c>
      <c r="O20" s="38">
        <v>300</v>
      </c>
    </row>
    <row r="21" spans="1:15" x14ac:dyDescent="0.25">
      <c r="A21" s="181">
        <v>5110</v>
      </c>
      <c r="B21" s="181">
        <v>12003500</v>
      </c>
      <c r="C21" s="249">
        <v>102562601</v>
      </c>
      <c r="D21" s="182">
        <v>102562</v>
      </c>
      <c r="E21" s="181"/>
      <c r="F21" s="259" t="s">
        <v>301</v>
      </c>
      <c r="G21" s="181"/>
      <c r="H21" s="181"/>
      <c r="I21" s="260">
        <f>'Oppsummering '!I11</f>
        <v>55000</v>
      </c>
      <c r="J21" s="37" t="s">
        <v>155</v>
      </c>
      <c r="K21" s="38">
        <f>'Oppsummering '!I11/(Diverse!B23/5)</f>
        <v>110</v>
      </c>
      <c r="L21" s="38">
        <v>110</v>
      </c>
      <c r="M21" s="38">
        <v>110</v>
      </c>
      <c r="N21" s="38">
        <v>110</v>
      </c>
      <c r="O21" s="38">
        <v>110</v>
      </c>
    </row>
    <row r="22" spans="1:15" x14ac:dyDescent="0.25">
      <c r="A22" s="181">
        <v>5110</v>
      </c>
      <c r="B22" s="181">
        <v>12003500</v>
      </c>
      <c r="C22" s="249">
        <v>102562601</v>
      </c>
      <c r="D22" s="182">
        <v>102562</v>
      </c>
      <c r="E22" s="181"/>
      <c r="F22" s="259" t="s">
        <v>302</v>
      </c>
      <c r="G22" s="181"/>
      <c r="H22" s="181"/>
      <c r="I22" s="260">
        <f>'Oppsummering '!I12</f>
        <v>43500</v>
      </c>
      <c r="J22" s="37" t="s">
        <v>156</v>
      </c>
      <c r="K22" s="38">
        <f>'Oppsummering '!I12/(Diverse!B30/5)</f>
        <v>87</v>
      </c>
      <c r="L22" s="38">
        <v>87</v>
      </c>
      <c r="M22" s="38">
        <v>87</v>
      </c>
      <c r="N22" s="38">
        <v>87</v>
      </c>
      <c r="O22" s="38">
        <v>87</v>
      </c>
    </row>
    <row r="23" spans="1:15" x14ac:dyDescent="0.25">
      <c r="A23" s="181">
        <v>5110</v>
      </c>
      <c r="B23" s="181">
        <v>12003500</v>
      </c>
      <c r="C23" s="249">
        <v>102562603</v>
      </c>
      <c r="D23" s="182">
        <v>102562</v>
      </c>
      <c r="E23" s="181"/>
      <c r="F23" s="181"/>
      <c r="G23" s="181"/>
      <c r="H23" s="181"/>
      <c r="I23" s="260">
        <f>'Oppsummering '!I17</f>
        <v>71850</v>
      </c>
      <c r="J23" s="37" t="s">
        <v>158</v>
      </c>
      <c r="K23" s="38">
        <f>'Oppsummering '!I17/(Valgemner!B2/5)</f>
        <v>143.69999999999999</v>
      </c>
      <c r="L23" s="38">
        <v>143.69999999999999</v>
      </c>
      <c r="M23" s="38">
        <v>143.69999999999999</v>
      </c>
      <c r="N23" s="38">
        <v>143.69999999999999</v>
      </c>
      <c r="O23" s="38">
        <v>143.69999999999999</v>
      </c>
    </row>
    <row r="24" spans="1:15" x14ac:dyDescent="0.25">
      <c r="A24" s="181">
        <v>5110</v>
      </c>
      <c r="B24" s="181">
        <v>12003500</v>
      </c>
      <c r="C24" s="249">
        <v>102562601</v>
      </c>
      <c r="D24" s="182">
        <v>102562</v>
      </c>
      <c r="E24" s="181"/>
      <c r="F24" s="259" t="s">
        <v>303</v>
      </c>
      <c r="G24" s="181"/>
      <c r="H24" s="181"/>
      <c r="I24" s="260">
        <f>'Oppsummering '!I18</f>
        <v>30000</v>
      </c>
      <c r="J24" s="188" t="s">
        <v>240</v>
      </c>
      <c r="K24" s="38">
        <f>'Oppsummering '!I18/(Valgemner!B2/5)</f>
        <v>60</v>
      </c>
      <c r="L24" s="38">
        <v>60</v>
      </c>
      <c r="M24" s="38">
        <v>60</v>
      </c>
      <c r="N24" s="38">
        <v>60</v>
      </c>
      <c r="O24" s="38">
        <v>60</v>
      </c>
    </row>
    <row r="25" spans="1:15" x14ac:dyDescent="0.25">
      <c r="A25" s="181">
        <v>5110</v>
      </c>
      <c r="B25" s="181">
        <v>12003500</v>
      </c>
      <c r="C25" s="249">
        <v>102562601</v>
      </c>
      <c r="D25" s="182">
        <v>102562</v>
      </c>
      <c r="E25" s="181"/>
      <c r="F25" s="259" t="s">
        <v>304</v>
      </c>
      <c r="G25" s="181"/>
      <c r="H25" s="181"/>
      <c r="I25" s="260">
        <f>'Oppsummering '!H22</f>
        <v>448000</v>
      </c>
      <c r="J25" s="188" t="s">
        <v>241</v>
      </c>
      <c r="K25" s="38">
        <f>'Oppsummering '!I22/Diverse!B20</f>
        <v>0</v>
      </c>
      <c r="L25" s="38">
        <v>0</v>
      </c>
      <c r="M25" s="38">
        <v>0</v>
      </c>
      <c r="N25" s="38">
        <v>0</v>
      </c>
      <c r="O25" s="38">
        <v>0</v>
      </c>
    </row>
    <row r="26" spans="1:15" x14ac:dyDescent="0.25">
      <c r="A26" s="181">
        <v>5110</v>
      </c>
      <c r="B26" s="181">
        <v>12100000</v>
      </c>
      <c r="C26" s="249">
        <v>102562903</v>
      </c>
      <c r="D26" s="182">
        <v>102562</v>
      </c>
      <c r="E26" s="181"/>
      <c r="F26" s="181"/>
      <c r="G26" s="181"/>
      <c r="H26" s="181"/>
      <c r="I26" s="260">
        <f>'Oppsummering '!I19</f>
        <v>38270</v>
      </c>
      <c r="J26" s="188" t="s">
        <v>260</v>
      </c>
      <c r="K26" s="38">
        <f>'Oppsummering '!I19/(Valgemner!B2/5)</f>
        <v>76.540000000000006</v>
      </c>
      <c r="L26" s="38">
        <v>76.540000000000006</v>
      </c>
      <c r="M26" s="38">
        <v>76.540000000000006</v>
      </c>
      <c r="N26" s="38">
        <v>76.540000000000006</v>
      </c>
      <c r="O26" s="38">
        <v>76.540000000000006</v>
      </c>
    </row>
    <row r="27" spans="1:15" x14ac:dyDescent="0.25">
      <c r="A27" s="181"/>
      <c r="B27" s="181"/>
      <c r="C27" s="249"/>
      <c r="D27" s="182"/>
      <c r="E27" s="181"/>
      <c r="F27" s="181"/>
      <c r="G27" s="181"/>
      <c r="H27" s="181"/>
      <c r="I27" s="260"/>
      <c r="J27" s="147"/>
      <c r="K27" s="38"/>
      <c r="L27" s="38"/>
      <c r="M27" s="38"/>
      <c r="N27" s="38"/>
      <c r="O27" s="38"/>
    </row>
    <row r="29" spans="1:15" x14ac:dyDescent="0.25">
      <c r="K29" s="5">
        <f>SUM(K4:K27)</f>
        <v>20317.011764705883</v>
      </c>
    </row>
  </sheetData>
  <sheetProtection algorithmName="SHA-512" hashValue="AMIyL8+ifWuihFsH5r8KRap5zmi1v2x1MoehzW4oUyWxmnI3sfDXXFj8Vw8yUOI3hIiVxmTMGO+NFzUWSQHuyg==" saltValue="C97QXIWQWj+RIzh5tn0NQg==" spinCount="100000" sheet="1" objects="1" scenarios="1" selectLockedCells="1"/>
  <autoFilter ref="B3:O27"/>
  <customSheetViews>
    <customSheetView guid="{CB7E9FB3-C7A3-44DE-98E4-19C23B487785}" fitToPage="1" showAutoFilter="1">
      <selection activeCell="L20" sqref="L20"/>
      <pageMargins left="0.70866141732283472" right="0.70866141732283472" top="0.74803149606299213" bottom="0.74803149606299213" header="0.31496062992125984" footer="0.31496062992125984"/>
      <pageSetup paperSize="9" orientation="landscape" r:id="rId1"/>
      <autoFilter ref="B3:O27"/>
    </customSheetView>
    <customSheetView guid="{0F10E6D6-430E-4539-8602-E1FCB30ABD1B}" fitToPage="1" showAutoFilter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2"/>
      <autoFilter ref="B3:O27"/>
    </customSheetView>
    <customSheetView guid="{6A1E5DF8-D380-4588-9B84-662BAE41D0D9}" fitToPage="1" showAutoFilter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3"/>
      <autoFilter ref="B3:O27"/>
    </customSheetView>
    <customSheetView guid="{C3BF634C-AA16-4BD6-93CF-AD12048346B7}" fitToPage="1" showAutoFilter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4"/>
      <autoFilter ref="B3:O27"/>
    </customSheetView>
    <customSheetView guid="{2A2C752C-8C42-4F9A-A40C-FE7F7014F210}" fitToPage="1" showAutoFilter="1">
      <selection activeCell="F23" sqref="F23"/>
      <pageMargins left="0.70866141732283472" right="0.70866141732283472" top="0.74803149606299213" bottom="0.74803149606299213" header="0.31496062992125984" footer="0.31496062992125984"/>
      <pageSetup paperSize="9" orientation="landscape" r:id="rId5"/>
      <autoFilter ref="A3:O29"/>
    </customSheetView>
    <customSheetView guid="{AC2983A2-F978-40B7-A196-35F34E705157}" fitToPage="1" showAutoFilter="1">
      <selection activeCell="L25" sqref="L25"/>
      <pageMargins left="0.70866141732283472" right="0.70866141732283472" top="0.74803149606299213" bottom="0.74803149606299213" header="0.31496062992125984" footer="0.31496062992125984"/>
      <pageSetup paperSize="9" orientation="landscape" r:id="rId6"/>
      <autoFilter ref="A3:R35"/>
    </customSheetView>
    <customSheetView guid="{749D43A3-052D-442F-AE88-F6CCB83A1282}" fitToPage="1" showAutoFilter="1">
      <selection activeCell="L19" sqref="L19"/>
      <pageMargins left="0.70866141732283472" right="0.70866141732283472" top="0.74803149606299213" bottom="0.74803149606299213" header="0.31496062992125984" footer="0.31496062992125984"/>
      <pageSetup paperSize="9" orientation="landscape" r:id="rId7"/>
      <autoFilter ref="A3:R35"/>
    </customSheetView>
    <customSheetView guid="{F38A39FA-EF57-4062-A2AD-F3BEB88C5762}" fitToPage="1" showAutoFilter="1">
      <selection activeCell="L19" sqref="L19"/>
      <pageMargins left="0.70866141732283472" right="0.70866141732283472" top="0.74803149606299213" bottom="0.74803149606299213" header="0.31496062992125984" footer="0.31496062992125984"/>
      <pageSetup paperSize="9" orientation="landscape" r:id="rId8"/>
      <autoFilter ref="A3:R35"/>
    </customSheetView>
    <customSheetView guid="{83C69039-3E29-46E1-85FB-B9165E0BFA91}" fitToPage="1">
      <selection activeCell="L7" sqref="L7"/>
      <pageMargins left="0.70866141732283472" right="0.70866141732283472" top="0.74803149606299213" bottom="0.74803149606299213" header="0.31496062992125984" footer="0.31496062992125984"/>
      <pageSetup paperSize="9" scale="84" orientation="landscape" r:id="rId9"/>
    </customSheetView>
    <customSheetView guid="{C1FECEF4-D739-4F39-9B89-CF4C04A77A9B}" fitToPage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10"/>
    </customSheetView>
    <customSheetView guid="{91227156-ECBD-48FD-8964-78F3608400FC}" fitToPage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11"/>
    </customSheetView>
    <customSheetView guid="{B76C0EA9-E79B-4DA2-9ADE-66DB47109F8F}" fitToPage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12"/>
    </customSheetView>
    <customSheetView guid="{726FF687-50E0-4F8A-BCCB-6DA9E6D367D4}" fitToPage="1" printArea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13"/>
    </customSheetView>
    <customSheetView guid="{BB9ED292-532F-438C-A4A6-F8D66D70E0E7}" fitToPage="1" printArea="1" state="hidden">
      <selection activeCell="M44" sqref="M44"/>
      <pageMargins left="0.70866141732283472" right="0.70866141732283472" top="0.74803149606299213" bottom="0.74803149606299213" header="0.31496062992125984" footer="0.31496062992125984"/>
      <pageSetup paperSize="9" orientation="landscape" r:id="rId14"/>
    </customSheetView>
    <customSheetView guid="{7AE955BB-7BF8-4CA4-ABF1-6A0BB53A48AD}" fitToPage="1" state="hidden">
      <selection activeCell="L26" sqref="L26"/>
      <pageMargins left="0.70866141732283472" right="0.70866141732283472" top="0.74803149606299213" bottom="0.74803149606299213" header="0.31496062992125984" footer="0.31496062992125984"/>
      <pageSetup paperSize="9" orientation="landscape" r:id="rId15"/>
    </customSheetView>
    <customSheetView guid="{43EFFC0A-CCC0-43DD-A273-4AF58757EC00}" fitToPage="1" showAutoFilter="1">
      <selection activeCell="L19" sqref="L19"/>
      <pageMargins left="0.70866141732283472" right="0.70866141732283472" top="0.74803149606299213" bottom="0.74803149606299213" header="0.31496062992125984" footer="0.31496062992125984"/>
      <pageSetup paperSize="9" orientation="landscape" r:id="rId16"/>
      <autoFilter ref="A3:R35"/>
    </customSheetView>
    <customSheetView guid="{E5349645-7714-4437-B9BC-26ED822E5BC5}" fitToPage="1" showAutoFilter="1">
      <selection activeCell="L13" sqref="L13"/>
      <pageMargins left="0.70866141732283472" right="0.70866141732283472" top="0.74803149606299213" bottom="0.74803149606299213" header="0.31496062992125984" footer="0.31496062992125984"/>
      <pageSetup paperSize="9" orientation="landscape" r:id="rId17"/>
      <autoFilter ref="A3:R35"/>
    </customSheetView>
    <customSheetView guid="{46AB9545-8BEE-4A2F-B820-9F80AC24A11B}" fitToPage="1" showAutoFilter="1">
      <selection activeCell="L13" sqref="L13"/>
      <pageMargins left="0.70866141732283472" right="0.70866141732283472" top="0.74803149606299213" bottom="0.74803149606299213" header="0.31496062992125984" footer="0.31496062992125984"/>
      <pageSetup paperSize="9" orientation="landscape" r:id="rId18"/>
      <autoFilter ref="A3:R35"/>
    </customSheetView>
    <customSheetView guid="{F727610F-D041-4412-A81F-AFD013C44971}" fitToPage="1" showAutoFilter="1">
      <selection activeCell="L13" sqref="L13"/>
      <pageMargins left="0.70866141732283472" right="0.70866141732283472" top="0.74803149606299213" bottom="0.74803149606299213" header="0.31496062992125984" footer="0.31496062992125984"/>
      <pageSetup paperSize="9" orientation="landscape" r:id="rId19"/>
      <autoFilter ref="A3:R35"/>
    </customSheetView>
    <customSheetView guid="{F170D8DF-3539-4353-BD8B-1F5EB452DAE5}" fitToPage="1" showAutoFilter="1" topLeftCell="A10">
      <selection activeCell="L31" sqref="L31"/>
      <pageMargins left="0.70866141732283472" right="0.70866141732283472" top="0.74803149606299213" bottom="0.74803149606299213" header="0.31496062992125984" footer="0.31496062992125984"/>
      <pageSetup paperSize="9" orientation="landscape" r:id="rId20"/>
      <autoFilter ref="A3:R35"/>
    </customSheetView>
    <customSheetView guid="{1283C6B5-B05C-447B-8854-CDB081C03FD4}" fitToPage="1" showAutoFilter="1">
      <selection activeCell="L25" sqref="L25"/>
      <pageMargins left="0.70866141732283472" right="0.70866141732283472" top="0.74803149606299213" bottom="0.74803149606299213" header="0.31496062992125984" footer="0.31496062992125984"/>
      <pageSetup paperSize="9" orientation="landscape" r:id="rId21"/>
      <autoFilter ref="A3:R35"/>
    </customSheetView>
    <customSheetView guid="{37BC2192-ABF8-4439-93C4-8E65E7EF90F5}" fitToPage="1" showAutoFilter="1">
      <selection activeCell="L25" sqref="L25"/>
      <pageMargins left="0.70866141732283472" right="0.70866141732283472" top="0.74803149606299213" bottom="0.74803149606299213" header="0.31496062992125984" footer="0.31496062992125984"/>
      <pageSetup paperSize="9" orientation="landscape" r:id="rId22"/>
      <autoFilter ref="A3:R35"/>
    </customSheetView>
    <customSheetView guid="{7084DC93-B2BE-4098-87E1-DAC5FBCE0E0A}" fitToPage="1" showAutoFilter="1">
      <selection activeCell="L25" sqref="L25"/>
      <pageMargins left="0.70866141732283472" right="0.70866141732283472" top="0.74803149606299213" bottom="0.74803149606299213" header="0.31496062992125984" footer="0.31496062992125984"/>
      <pageSetup paperSize="9" orientation="landscape" r:id="rId23"/>
      <autoFilter ref="A3:R35"/>
    </customSheetView>
    <customSheetView guid="{0E885D9C-CD7C-4655-8709-41793617E0A7}" fitToPage="1" showAutoFilter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24"/>
      <autoFilter ref="B3:O27"/>
    </customSheetView>
    <customSheetView guid="{B711C9DF-E741-4A27-9293-4E9F012F3AC0}" fitToPage="1" showAutoFilter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25"/>
      <autoFilter ref="B3:O27"/>
    </customSheetView>
    <customSheetView guid="{1241DC17-BD41-46C5-9DB1-684763A09F24}" fitToPage="1" showAutoFilter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26"/>
      <autoFilter ref="B3:O27"/>
    </customSheetView>
  </customSheetViews>
  <mergeCells count="1">
    <mergeCell ref="K1:O1"/>
  </mergeCells>
  <conditionalFormatting sqref="B1">
    <cfRule type="cellIs" dxfId="1" priority="2" operator="equal">
      <formula>"Mangler input"</formula>
    </cfRule>
  </conditionalFormatting>
  <conditionalFormatting sqref="A1">
    <cfRule type="cellIs" dxfId="0" priority="1" operator="equal">
      <formula>"Mangler input"</formula>
    </cfRule>
  </conditionalFormatting>
  <dataValidations count="1">
    <dataValidation type="list" allowBlank="1" showInputMessage="1" showErrorMessage="1" sqref="H4:H9">
      <formula1>$AE$7:$AE$10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2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opLeftCell="A7" workbookViewId="0">
      <selection activeCell="G36" sqref="G36"/>
    </sheetView>
  </sheetViews>
  <sheetFormatPr baseColWidth="10" defaultColWidth="11.42578125" defaultRowHeight="15" x14ac:dyDescent="0.25"/>
  <cols>
    <col min="1" max="1" width="22.42578125" customWidth="1"/>
    <col min="2" max="2" width="12.42578125" customWidth="1"/>
    <col min="3" max="3" width="11.5703125" customWidth="1"/>
    <col min="4" max="6" width="9.140625" customWidth="1"/>
    <col min="7" max="7" width="14.140625" customWidth="1"/>
    <col min="8" max="8" width="13" customWidth="1"/>
    <col min="9" max="9" width="9.140625" customWidth="1"/>
    <col min="10" max="10" width="11" customWidth="1"/>
    <col min="11" max="255" width="9.140625" customWidth="1"/>
  </cols>
  <sheetData>
    <row r="2" spans="1:7" x14ac:dyDescent="0.25">
      <c r="A2" t="s">
        <v>178</v>
      </c>
    </row>
    <row r="3" spans="1:7" x14ac:dyDescent="0.25">
      <c r="A3" t="s">
        <v>175</v>
      </c>
      <c r="G3" t="s">
        <v>176</v>
      </c>
    </row>
    <row r="5" spans="1:7" x14ac:dyDescent="0.25">
      <c r="A5" t="s">
        <v>177</v>
      </c>
    </row>
    <row r="7" spans="1:7" x14ac:dyDescent="0.25">
      <c r="A7" t="s">
        <v>163</v>
      </c>
    </row>
    <row r="8" spans="1:7" x14ac:dyDescent="0.25">
      <c r="A8" t="s">
        <v>164</v>
      </c>
    </row>
    <row r="9" spans="1:7" x14ac:dyDescent="0.25">
      <c r="A9" t="s">
        <v>164</v>
      </c>
    </row>
    <row r="11" spans="1:7" x14ac:dyDescent="0.25">
      <c r="A11" t="s">
        <v>165</v>
      </c>
    </row>
    <row r="12" spans="1:7" x14ac:dyDescent="0.25">
      <c r="A12" t="s">
        <v>166</v>
      </c>
    </row>
    <row r="14" spans="1:7" x14ac:dyDescent="0.25">
      <c r="A14" t="s">
        <v>167</v>
      </c>
    </row>
    <row r="15" spans="1:7" x14ac:dyDescent="0.25">
      <c r="A15" t="s">
        <v>168</v>
      </c>
    </row>
    <row r="16" spans="1:7" x14ac:dyDescent="0.25">
      <c r="A16" t="s">
        <v>169</v>
      </c>
    </row>
    <row r="17" spans="1:10" x14ac:dyDescent="0.25">
      <c r="A17" t="s">
        <v>170</v>
      </c>
    </row>
    <row r="18" spans="1:10" x14ac:dyDescent="0.25">
      <c r="A18" t="s">
        <v>171</v>
      </c>
    </row>
    <row r="20" spans="1:10" x14ac:dyDescent="0.25">
      <c r="A20" t="s">
        <v>172</v>
      </c>
    </row>
    <row r="21" spans="1:10" x14ac:dyDescent="0.25">
      <c r="A21" t="s">
        <v>173</v>
      </c>
    </row>
    <row r="22" spans="1:10" x14ac:dyDescent="0.25">
      <c r="A22" t="s">
        <v>174</v>
      </c>
    </row>
    <row r="24" spans="1:10" ht="16.5" thickBot="1" x14ac:dyDescent="0.3">
      <c r="A24" s="190"/>
      <c r="B24" s="94"/>
      <c r="C24" s="95"/>
      <c r="D24" s="191" t="s">
        <v>131</v>
      </c>
      <c r="E24" s="192"/>
      <c r="F24" s="193"/>
      <c r="G24" s="194"/>
    </row>
    <row r="25" spans="1:10" ht="60" x14ac:dyDescent="0.25">
      <c r="A25" s="195" t="s">
        <v>1</v>
      </c>
      <c r="B25" s="196" t="s">
        <v>160</v>
      </c>
      <c r="C25" s="197" t="s">
        <v>122</v>
      </c>
      <c r="D25" s="198" t="s">
        <v>52</v>
      </c>
      <c r="E25" s="198" t="s">
        <v>53</v>
      </c>
      <c r="F25" s="199" t="s">
        <v>43</v>
      </c>
      <c r="G25" s="200" t="s">
        <v>235</v>
      </c>
      <c r="H25" s="201" t="s">
        <v>247</v>
      </c>
      <c r="I25" s="200" t="s">
        <v>32</v>
      </c>
      <c r="J25" s="200" t="s">
        <v>107</v>
      </c>
    </row>
    <row r="26" spans="1:10" ht="60" x14ac:dyDescent="0.25">
      <c r="A26" s="189" t="s">
        <v>183</v>
      </c>
      <c r="B26" s="45">
        <v>10</v>
      </c>
      <c r="C26" s="45">
        <v>20</v>
      </c>
      <c r="D26" s="205"/>
      <c r="E26" s="205">
        <v>22</v>
      </c>
      <c r="F26" s="1">
        <v>22</v>
      </c>
      <c r="G26" s="3">
        <v>42900</v>
      </c>
      <c r="H26" s="205">
        <v>0</v>
      </c>
      <c r="I26" s="1"/>
      <c r="J26" s="1"/>
    </row>
    <row r="27" spans="1:10" ht="30" x14ac:dyDescent="0.25">
      <c r="A27" s="189" t="s">
        <v>184</v>
      </c>
      <c r="B27" s="45">
        <v>10</v>
      </c>
      <c r="C27" s="45">
        <v>20</v>
      </c>
      <c r="D27" s="205"/>
      <c r="E27" s="205">
        <v>22</v>
      </c>
      <c r="F27" s="1">
        <v>22</v>
      </c>
      <c r="G27" s="3">
        <v>42900</v>
      </c>
      <c r="H27" s="205">
        <v>3</v>
      </c>
      <c r="I27" s="1"/>
      <c r="J27" s="1">
        <v>15</v>
      </c>
    </row>
    <row r="28" spans="1:10" ht="30" x14ac:dyDescent="0.25">
      <c r="A28" s="189" t="s">
        <v>185</v>
      </c>
      <c r="B28" s="45">
        <v>10</v>
      </c>
      <c r="C28" s="45">
        <v>20</v>
      </c>
      <c r="D28" s="205"/>
      <c r="E28" s="205">
        <v>22</v>
      </c>
      <c r="F28" s="1">
        <v>22</v>
      </c>
      <c r="G28" s="3">
        <v>42900</v>
      </c>
      <c r="H28" s="205">
        <v>4</v>
      </c>
      <c r="I28" s="1"/>
      <c r="J28" s="1">
        <v>20</v>
      </c>
    </row>
    <row r="29" spans="1:10" ht="30" x14ac:dyDescent="0.25">
      <c r="A29" s="189" t="s">
        <v>186</v>
      </c>
      <c r="B29" s="45">
        <v>10</v>
      </c>
      <c r="C29" s="45">
        <v>20</v>
      </c>
      <c r="D29" s="205"/>
      <c r="E29" s="205">
        <v>22</v>
      </c>
      <c r="F29" s="1">
        <v>22</v>
      </c>
      <c r="G29" s="3">
        <v>42900</v>
      </c>
      <c r="H29" s="205"/>
      <c r="I29" s="1"/>
      <c r="J29" s="1"/>
    </row>
    <row r="30" spans="1:10" ht="90" x14ac:dyDescent="0.25">
      <c r="A30" s="189" t="s">
        <v>187</v>
      </c>
      <c r="B30" s="45">
        <v>10</v>
      </c>
      <c r="C30" s="45">
        <v>20</v>
      </c>
      <c r="D30" s="205"/>
      <c r="E30" s="205">
        <v>22</v>
      </c>
      <c r="F30" s="1">
        <v>22</v>
      </c>
      <c r="G30" s="3">
        <v>42900</v>
      </c>
      <c r="H30" s="205">
        <v>0</v>
      </c>
      <c r="I30" s="1"/>
      <c r="J30" s="1"/>
    </row>
    <row r="31" spans="1:10" ht="30" x14ac:dyDescent="0.25">
      <c r="A31" s="189" t="s">
        <v>188</v>
      </c>
      <c r="B31" s="45">
        <v>10</v>
      </c>
      <c r="C31" s="45">
        <v>20</v>
      </c>
      <c r="D31" s="205"/>
      <c r="E31" s="205">
        <v>20</v>
      </c>
      <c r="F31" s="1">
        <v>6</v>
      </c>
      <c r="G31" s="3">
        <v>11700</v>
      </c>
      <c r="H31" s="205">
        <v>0</v>
      </c>
      <c r="I31" s="1"/>
      <c r="J31" s="1"/>
    </row>
    <row r="32" spans="1:10" ht="60" x14ac:dyDescent="0.25">
      <c r="A32" s="189" t="s">
        <v>189</v>
      </c>
      <c r="B32" s="45">
        <v>10</v>
      </c>
      <c r="C32" s="45">
        <v>20</v>
      </c>
      <c r="D32" s="205">
        <v>28</v>
      </c>
      <c r="E32" s="205"/>
      <c r="F32" s="1">
        <v>28</v>
      </c>
      <c r="G32" s="3">
        <v>54600</v>
      </c>
      <c r="H32" s="205">
        <v>6</v>
      </c>
      <c r="I32" s="1"/>
      <c r="J32" s="1">
        <v>30</v>
      </c>
    </row>
    <row r="33" spans="1:10" ht="75" x14ac:dyDescent="0.25">
      <c r="A33" s="189" t="s">
        <v>190</v>
      </c>
      <c r="B33" s="45">
        <v>10</v>
      </c>
      <c r="C33" s="45">
        <v>20</v>
      </c>
      <c r="D33" s="205">
        <v>22</v>
      </c>
      <c r="E33" s="205"/>
      <c r="F33" s="1">
        <v>22</v>
      </c>
      <c r="G33" s="3">
        <v>42900</v>
      </c>
      <c r="H33" s="205">
        <v>4</v>
      </c>
      <c r="I33" s="1"/>
      <c r="J33" s="1">
        <v>20</v>
      </c>
    </row>
    <row r="34" spans="1:10" ht="45" x14ac:dyDescent="0.25">
      <c r="A34" s="189" t="s">
        <v>246</v>
      </c>
      <c r="B34" s="45">
        <v>10</v>
      </c>
      <c r="C34" s="45">
        <v>20</v>
      </c>
      <c r="D34" s="205">
        <v>22</v>
      </c>
      <c r="E34" s="205"/>
      <c r="F34" s="1">
        <v>22</v>
      </c>
      <c r="G34" s="3">
        <v>42900</v>
      </c>
      <c r="H34" s="205"/>
      <c r="I34" s="1"/>
      <c r="J34" s="1"/>
    </row>
    <row r="35" spans="1:10" ht="60" x14ac:dyDescent="0.25">
      <c r="A35" s="189" t="s">
        <v>180</v>
      </c>
      <c r="B35" s="45">
        <v>10</v>
      </c>
      <c r="C35" s="45">
        <v>20</v>
      </c>
      <c r="D35" s="205">
        <v>22</v>
      </c>
      <c r="E35" s="205"/>
      <c r="F35" s="1">
        <v>22</v>
      </c>
      <c r="G35" s="3">
        <v>42900</v>
      </c>
      <c r="H35" s="205">
        <v>0</v>
      </c>
      <c r="I35" s="1"/>
      <c r="J35" s="1"/>
    </row>
    <row r="36" spans="1:10" x14ac:dyDescent="0.25">
      <c r="B36">
        <f t="shared" ref="B36:H36" si="0">SUM(B26:B35)</f>
        <v>100</v>
      </c>
      <c r="C36">
        <f t="shared" si="0"/>
        <v>200</v>
      </c>
      <c r="D36">
        <f t="shared" si="0"/>
        <v>94</v>
      </c>
      <c r="E36">
        <f t="shared" si="0"/>
        <v>130</v>
      </c>
      <c r="F36">
        <f t="shared" si="0"/>
        <v>210</v>
      </c>
      <c r="G36" s="5">
        <f t="shared" si="0"/>
        <v>409500</v>
      </c>
      <c r="H36">
        <f t="shared" si="0"/>
        <v>17</v>
      </c>
      <c r="J36">
        <f>SUM(J26:J35)</f>
        <v>85</v>
      </c>
    </row>
  </sheetData>
  <customSheetViews>
    <customSheetView guid="{CB7E9FB3-C7A3-44DE-98E4-19C23B487785}" topLeftCell="A7">
      <selection activeCell="G36" sqref="G36"/>
      <pageMargins left="0.7" right="0.7" top="0.75" bottom="0.75" header="0.3" footer="0.3"/>
      <pageSetup paperSize="9" orientation="portrait" r:id="rId1"/>
    </customSheetView>
    <customSheetView guid="{0F10E6D6-430E-4539-8602-E1FCB30ABD1B}" topLeftCell="A7">
      <selection activeCell="G36" sqref="G36"/>
      <pageMargins left="0.7" right="0.7" top="0.75" bottom="0.75" header="0.3" footer="0.3"/>
      <pageSetup paperSize="9" orientation="portrait" r:id="rId2"/>
    </customSheetView>
    <customSheetView guid="{6A1E5DF8-D380-4588-9B84-662BAE41D0D9}" topLeftCell="A16">
      <selection activeCell="G36" sqref="G36"/>
      <pageMargins left="0.7" right="0.7" top="0.75" bottom="0.75" header="0.3" footer="0.3"/>
      <pageSetup paperSize="9" orientation="portrait" r:id="rId3"/>
    </customSheetView>
    <customSheetView guid="{C3BF634C-AA16-4BD6-93CF-AD12048346B7}" topLeftCell="A16">
      <selection activeCell="G36" sqref="G36"/>
      <pageMargins left="0.7" right="0.7" top="0.75" bottom="0.75" header="0.3" footer="0.3"/>
      <pageSetup paperSize="9" orientation="portrait" r:id="rId4"/>
    </customSheetView>
    <customSheetView guid="{2A2C752C-8C42-4F9A-A40C-FE7F7014F210}">
      <selection activeCell="G36" sqref="G36"/>
      <pageMargins left="0.7" right="0.7" top="0.75" bottom="0.75" header="0.3" footer="0.3"/>
      <pageSetup paperSize="9" orientation="portrait" r:id="rId5"/>
    </customSheetView>
    <customSheetView guid="{AC2983A2-F978-40B7-A196-35F34E705157}">
      <selection activeCell="G27" sqref="G27"/>
      <pageMargins left="0.7" right="0.7" top="0.75" bottom="0.75" header="0.3" footer="0.3"/>
    </customSheetView>
    <customSheetView guid="{749D43A3-052D-442F-AE88-F6CCB83A1282}">
      <selection activeCell="G27" sqref="G27"/>
      <pageMargins left="0.7" right="0.7" top="0.75" bottom="0.75" header="0.3" footer="0.3"/>
    </customSheetView>
    <customSheetView guid="{F38A39FA-EF57-4062-A2AD-F3BEB88C5762}">
      <selection activeCell="G27" sqref="G27"/>
      <pageMargins left="0.7" right="0.7" top="0.75" bottom="0.75" header="0.3" footer="0.3"/>
    </customSheetView>
    <customSheetView guid="{83C69039-3E29-46E1-85FB-B9165E0BFA91}">
      <selection activeCell="I34" sqref="I34:J34"/>
      <pageMargins left="0.7" right="0.7" top="0.75" bottom="0.75" header="0.3" footer="0.3"/>
    </customSheetView>
    <customSheetView guid="{C1FECEF4-D739-4F39-9B89-CF4C04A77A9B}">
      <selection activeCell="I34" sqref="I34:J34"/>
      <pageMargins left="0.7" right="0.7" top="0.75" bottom="0.75" header="0.3" footer="0.3"/>
    </customSheetView>
    <customSheetView guid="{B76C0EA9-E79B-4DA2-9ADE-66DB47109F8F}">
      <selection activeCell="I34" sqref="I34:J34"/>
      <pageMargins left="0.7" right="0.7" top="0.75" bottom="0.75" header="0.3" footer="0.3"/>
    </customSheetView>
    <customSheetView guid="{726FF687-50E0-4F8A-BCCB-6DA9E6D367D4}">
      <selection activeCell="I34" sqref="I34:J34"/>
      <pageMargins left="0.7" right="0.7" top="0.75" bottom="0.75" header="0.3" footer="0.3"/>
    </customSheetView>
    <customSheetView guid="{BB9ED292-532F-438C-A4A6-F8D66D70E0E7}">
      <selection activeCell="I34" sqref="I34:J34"/>
      <pageMargins left="0.7" right="0.7" top="0.75" bottom="0.75" header="0.3" footer="0.3"/>
    </customSheetView>
    <customSheetView guid="{7AE955BB-7BF8-4CA4-ABF1-6A0BB53A48AD}" topLeftCell="A16">
      <selection activeCell="N29" sqref="N29"/>
      <pageMargins left="0.7" right="0.7" top="0.75" bottom="0.75" header="0.3" footer="0.3"/>
    </customSheetView>
    <customSheetView guid="{43EFFC0A-CCC0-43DD-A273-4AF58757EC00}">
      <selection activeCell="G27" sqref="G27"/>
      <pageMargins left="0.7" right="0.7" top="0.75" bottom="0.75" header="0.3" footer="0.3"/>
    </customSheetView>
    <customSheetView guid="{E5349645-7714-4437-B9BC-26ED822E5BC5}">
      <selection activeCell="G27" sqref="G27"/>
      <pageMargins left="0.7" right="0.7" top="0.75" bottom="0.75" header="0.3" footer="0.3"/>
    </customSheetView>
    <customSheetView guid="{46AB9545-8BEE-4A2F-B820-9F80AC24A11B}">
      <selection activeCell="G27" sqref="G27"/>
      <pageMargins left="0.7" right="0.7" top="0.75" bottom="0.75" header="0.3" footer="0.3"/>
    </customSheetView>
    <customSheetView guid="{F727610F-D041-4412-A81F-AFD013C44971}">
      <selection activeCell="G27" sqref="G27"/>
      <pageMargins left="0.7" right="0.7" top="0.75" bottom="0.75" header="0.3" footer="0.3"/>
    </customSheetView>
    <customSheetView guid="{F170D8DF-3539-4353-BD8B-1F5EB452DAE5}">
      <selection activeCell="G27" sqref="G27"/>
      <pageMargins left="0.7" right="0.7" top="0.75" bottom="0.75" header="0.3" footer="0.3"/>
    </customSheetView>
    <customSheetView guid="{1283C6B5-B05C-447B-8854-CDB081C03FD4}">
      <selection activeCell="G27" sqref="G27"/>
      <pageMargins left="0.7" right="0.7" top="0.75" bottom="0.75" header="0.3" footer="0.3"/>
    </customSheetView>
    <customSheetView guid="{37BC2192-ABF8-4439-93C4-8E65E7EF90F5}" topLeftCell="A25">
      <selection activeCell="A25" sqref="A25"/>
      <pageMargins left="0.7" right="0.7" top="0.75" bottom="0.75" header="0.3" footer="0.3"/>
      <pageSetup paperSize="9" orientation="portrait" r:id="rId6"/>
    </customSheetView>
    <customSheetView guid="{7084DC93-B2BE-4098-87E1-DAC5FBCE0E0A}" topLeftCell="A25">
      <selection activeCell="A25" sqref="A25"/>
      <pageMargins left="0.7" right="0.7" top="0.75" bottom="0.75" header="0.3" footer="0.3"/>
      <pageSetup paperSize="9" orientation="portrait" r:id="rId7"/>
    </customSheetView>
    <customSheetView guid="{0E885D9C-CD7C-4655-8709-41793617E0A7}" topLeftCell="A16">
      <selection activeCell="G36" sqref="G36"/>
      <pageMargins left="0.7" right="0.7" top="0.75" bottom="0.75" header="0.3" footer="0.3"/>
      <pageSetup paperSize="9" orientation="portrait" r:id="rId8"/>
    </customSheetView>
    <customSheetView guid="{B711C9DF-E741-4A27-9293-4E9F012F3AC0}" topLeftCell="A16">
      <selection activeCell="G36" sqref="G36"/>
      <pageMargins left="0.7" right="0.7" top="0.75" bottom="0.75" header="0.3" footer="0.3"/>
      <pageSetup paperSize="9" orientation="portrait" r:id="rId9"/>
    </customSheetView>
    <customSheetView guid="{1241DC17-BD41-46C5-9DB1-684763A09F24}" topLeftCell="A7">
      <selection activeCell="G36" sqref="G36"/>
      <pageMargins left="0.7" right="0.7" top="0.75" bottom="0.75" header="0.3" footer="0.3"/>
      <pageSetup paperSize="9" orientation="portrait" r:id="rId10"/>
    </customSheetView>
  </customSheetView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1</vt:i4>
      </vt:variant>
    </vt:vector>
  </HeadingPairs>
  <TitlesOfParts>
    <vt:vector size="10" baseType="lpstr">
      <vt:lpstr>1. studieår</vt:lpstr>
      <vt:lpstr>2. studieår</vt:lpstr>
      <vt:lpstr>3. studieår</vt:lpstr>
      <vt:lpstr>4. studieår</vt:lpstr>
      <vt:lpstr>Valgemner</vt:lpstr>
      <vt:lpstr>Diverse</vt:lpstr>
      <vt:lpstr>Oppsummering </vt:lpstr>
      <vt:lpstr>Kontering</vt:lpstr>
      <vt:lpstr>HUMR</vt:lpstr>
      <vt:lpstr>Kontering!Utskriftsområde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jorning</dc:creator>
  <cp:lastModifiedBy>Trond Skjeie</cp:lastModifiedBy>
  <cp:lastPrinted>2021-09-10T09:42:19Z</cp:lastPrinted>
  <dcterms:created xsi:type="dcterms:W3CDTF">2010-09-08T06:54:11Z</dcterms:created>
  <dcterms:modified xsi:type="dcterms:W3CDTF">2022-11-01T09:49:38Z</dcterms:modified>
</cp:coreProperties>
</file>