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0875" activeTab="0"/>
  </bookViews>
  <sheets>
    <sheet name="MFT High Frequency" sheetId="1" r:id="rId1"/>
  </sheets>
  <definedNames>
    <definedName name="_xlnm.Print_Area" localSheetId="0">'MFT High Frequency'!$A$1:$P$56</definedName>
  </definedNames>
  <calcPr fullCalcOnLoad="1"/>
</workbook>
</file>

<file path=xl/sharedStrings.xml><?xml version="1.0" encoding="utf-8"?>
<sst xmlns="http://schemas.openxmlformats.org/spreadsheetml/2006/main" count="52" uniqueCount="51">
  <si>
    <t>RONCHI RULING FREQUENCY</t>
  </si>
  <si>
    <t>240LP/mm</t>
  </si>
  <si>
    <t>260LP/mm</t>
  </si>
  <si>
    <t>280LP/mm</t>
  </si>
  <si>
    <t>300LP/mm</t>
  </si>
  <si>
    <t>320LP/mm</t>
  </si>
  <si>
    <t>340LP/mm</t>
  </si>
  <si>
    <t>360LP/mm</t>
  </si>
  <si>
    <t>380LP/mm</t>
  </si>
  <si>
    <t>PERIOD IN MICRONS</t>
  </si>
  <si>
    <t>LINE OR SPACE WIDTH</t>
  </si>
  <si>
    <t>ALTA3500 ADDRESS SIZE µ</t>
  </si>
  <si>
    <t>LINE WIDTH DIVIDED BY ADDRESS SIZE</t>
  </si>
  <si>
    <t>310LP/mm</t>
  </si>
  <si>
    <t>330LP/mm</t>
  </si>
  <si>
    <t>350LP/mm</t>
  </si>
  <si>
    <t>370LP/mm</t>
  </si>
  <si>
    <t>390LP/mm</t>
  </si>
  <si>
    <t>400LP/mm</t>
  </si>
  <si>
    <t>410LP/mm</t>
  </si>
  <si>
    <t>420LP/mm</t>
  </si>
  <si>
    <t>430LP/mm</t>
  </si>
  <si>
    <t>440LP/mm</t>
  </si>
  <si>
    <t>450LP/mm</t>
  </si>
  <si>
    <t>460LP/mm</t>
  </si>
  <si>
    <t>470LP/mm</t>
  </si>
  <si>
    <t>480LP/mm</t>
  </si>
  <si>
    <t>490LP/mm</t>
  </si>
  <si>
    <t>500LP/mm</t>
  </si>
  <si>
    <t>510LP/mm</t>
  </si>
  <si>
    <t>520LP/mm</t>
  </si>
  <si>
    <t>530LP/mm</t>
  </si>
  <si>
    <t>540LP/mm</t>
  </si>
  <si>
    <t>550LP/mm</t>
  </si>
  <si>
    <t>560LP/mm</t>
  </si>
  <si>
    <t>570LP/mm</t>
  </si>
  <si>
    <t>580LP/mm</t>
  </si>
  <si>
    <t>590LP/mm</t>
  </si>
  <si>
    <t>600LP/mm</t>
  </si>
  <si>
    <t>CL-CL TOTAL WIDTH OF RULING µ</t>
  </si>
  <si>
    <t>TOTAL NUMBER OF EVEN ADDRESS INCREMENTS</t>
  </si>
  <si>
    <t>MAXIMUM REPLICATION TOLERANCE µ</t>
  </si>
  <si>
    <t>OVERALL SNAP PLUS REPLICATION ERROR µ</t>
  </si>
  <si>
    <t>CUMM ERROR DECISION POINT µ</t>
  </si>
  <si>
    <t>CALCULATED ADDRESS SNAP ERROR µ</t>
  </si>
  <si>
    <t>EDGE-EDGE TOTAL WIDTH OF RULING µ</t>
  </si>
  <si>
    <t>EDGE-EDGE TOTAL WIDTH DIVIDED BY ADDRESS SIZE</t>
  </si>
  <si>
    <t>PERIODIC ADDRESS SNAP ERROR µ</t>
  </si>
  <si>
    <t>SNAP ERROR OCCURS EVERY NUMBER OF LINE PAIRS</t>
  </si>
  <si>
    <t>NUMBER OF LINE PAIRS IN RULING</t>
  </si>
  <si>
    <t>NONE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</si>
</sst>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00000"/>
    <numFmt numFmtId="167" formatCode="0.000"/>
    <numFmt numFmtId="168" formatCode="0.0000000"/>
    <numFmt numFmtId="169" formatCode="0.00000000"/>
    <numFmt numFmtId="170" formatCode="#,##0.0"/>
    <numFmt numFmtId="171" formatCode="#,##0.000"/>
    <numFmt numFmtId="172" formatCode="0.0000000000"/>
    <numFmt numFmtId="173" formatCode="0.000000000"/>
    <numFmt numFmtId="174" formatCode="#,##0.00000"/>
    <numFmt numFmtId="175" formatCode="0.0"/>
  </numFmts>
  <fonts count="1">
    <font>
      <sz val="10"/>
      <name val="Arial"/>
      <family val="0"/>
    </font>
  </fonts>
  <fills count="2">
    <fill>
      <patternFill/>
    </fill>
    <fill>
      <patternFill patternType="gray125"/>
    </fill>
  </fills>
  <borders count="10">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Alignment="1">
      <alignment horizontal="center"/>
    </xf>
    <xf numFmtId="0" fontId="0" fillId="0" borderId="0" xfId="0" applyAlignment="1" applyProtection="1">
      <alignment horizontal="center"/>
      <protection hidden="1"/>
    </xf>
    <xf numFmtId="0" fontId="0" fillId="0" borderId="0" xfId="0" applyAlignment="1" applyProtection="1">
      <alignment/>
      <protection hidden="1"/>
    </xf>
    <xf numFmtId="2" fontId="0" fillId="0" borderId="0" xfId="0" applyNumberFormat="1" applyAlignment="1">
      <alignment horizontal="center" vertical="top" wrapText="1"/>
    </xf>
    <xf numFmtId="2" fontId="0" fillId="0" borderId="0" xfId="0" applyNumberFormat="1" applyAlignment="1">
      <alignment vertical="top" wrapText="1"/>
    </xf>
    <xf numFmtId="2" fontId="0" fillId="0" borderId="0" xfId="0" applyNumberFormat="1" applyAlignment="1">
      <alignment vertical="top"/>
    </xf>
    <xf numFmtId="2" fontId="0" fillId="0" borderId="1" xfId="0" applyNumberFormat="1" applyBorder="1" applyAlignment="1" applyProtection="1">
      <alignment horizontal="center" vertical="top" wrapText="1"/>
      <protection hidden="1"/>
    </xf>
    <xf numFmtId="2" fontId="0" fillId="0" borderId="2" xfId="0" applyNumberFormat="1" applyBorder="1" applyAlignment="1" applyProtection="1">
      <alignment horizontal="center" vertical="top" wrapText="1"/>
      <protection hidden="1"/>
    </xf>
    <xf numFmtId="2" fontId="0" fillId="0" borderId="3" xfId="0" applyNumberFormat="1" applyBorder="1" applyAlignment="1" applyProtection="1">
      <alignment horizontal="center" vertical="top" wrapText="1"/>
      <protection hidden="1"/>
    </xf>
    <xf numFmtId="0" fontId="0" fillId="0" borderId="4" xfId="0" applyBorder="1" applyAlignment="1" applyProtection="1">
      <alignment horizontal="center"/>
      <protection hidden="1"/>
    </xf>
    <xf numFmtId="164" fontId="0" fillId="0" borderId="5" xfId="0" applyNumberFormat="1" applyBorder="1" applyAlignment="1" applyProtection="1">
      <alignment horizontal="center"/>
      <protection hidden="1"/>
    </xf>
    <xf numFmtId="165" fontId="0" fillId="0" borderId="5" xfId="0" applyNumberFormat="1" applyBorder="1" applyAlignment="1" applyProtection="1">
      <alignment horizontal="center"/>
      <protection hidden="1"/>
    </xf>
    <xf numFmtId="0" fontId="0" fillId="0" borderId="5" xfId="0" applyBorder="1" applyAlignment="1" applyProtection="1">
      <alignment horizontal="center"/>
      <protection hidden="1"/>
    </xf>
    <xf numFmtId="165" fontId="0" fillId="0" borderId="5" xfId="0" applyNumberFormat="1" applyBorder="1" applyAlignment="1" applyProtection="1">
      <alignment horizontal="left" indent="1"/>
      <protection hidden="1"/>
    </xf>
    <xf numFmtId="167" fontId="0" fillId="0" borderId="5" xfId="0" applyNumberFormat="1" applyBorder="1" applyAlignment="1" applyProtection="1">
      <alignment horizontal="center"/>
      <protection hidden="1"/>
    </xf>
    <xf numFmtId="171" fontId="0" fillId="0" borderId="5" xfId="0" applyNumberFormat="1" applyBorder="1" applyAlignment="1" applyProtection="1">
      <alignment horizontal="center"/>
      <protection hidden="1"/>
    </xf>
    <xf numFmtId="2" fontId="0" fillId="0" borderId="5" xfId="0" applyNumberFormat="1" applyBorder="1" applyAlignment="1" applyProtection="1">
      <alignment horizontal="center"/>
      <protection hidden="1"/>
    </xf>
    <xf numFmtId="1" fontId="0" fillId="0" borderId="5" xfId="0" applyNumberFormat="1" applyBorder="1" applyAlignment="1" applyProtection="1">
      <alignment horizontal="center"/>
      <protection hidden="1"/>
    </xf>
    <xf numFmtId="165" fontId="0" fillId="0" borderId="6" xfId="0" applyNumberFormat="1" applyBorder="1" applyAlignment="1" applyProtection="1">
      <alignment horizontal="center"/>
      <protection hidden="1"/>
    </xf>
    <xf numFmtId="0" fontId="0" fillId="0" borderId="7" xfId="0" applyBorder="1" applyAlignment="1" applyProtection="1">
      <alignment horizontal="center"/>
      <protection hidden="1"/>
    </xf>
    <xf numFmtId="164" fontId="0" fillId="0" borderId="8" xfId="0" applyNumberFormat="1" applyBorder="1" applyAlignment="1" applyProtection="1">
      <alignment horizontal="center"/>
      <protection hidden="1"/>
    </xf>
    <xf numFmtId="165" fontId="0" fillId="0" borderId="8" xfId="0" applyNumberFormat="1" applyBorder="1" applyAlignment="1" applyProtection="1">
      <alignment horizontal="center"/>
      <protection hidden="1"/>
    </xf>
    <xf numFmtId="0" fontId="0" fillId="0" borderId="8" xfId="0" applyBorder="1" applyAlignment="1" applyProtection="1">
      <alignment horizontal="center"/>
      <protection hidden="1"/>
    </xf>
    <xf numFmtId="165" fontId="0" fillId="0" borderId="8" xfId="0" applyNumberFormat="1" applyBorder="1" applyAlignment="1" applyProtection="1">
      <alignment horizontal="left" indent="1"/>
      <protection hidden="1"/>
    </xf>
    <xf numFmtId="167" fontId="0" fillId="0" borderId="8" xfId="0" applyNumberFormat="1" applyBorder="1" applyAlignment="1" applyProtection="1">
      <alignment horizontal="center"/>
      <protection hidden="1"/>
    </xf>
    <xf numFmtId="171" fontId="0" fillId="0" borderId="8" xfId="0" applyNumberFormat="1" applyBorder="1" applyAlignment="1" applyProtection="1">
      <alignment horizontal="center"/>
      <protection hidden="1"/>
    </xf>
    <xf numFmtId="1" fontId="0" fillId="0" borderId="8" xfId="0" applyNumberFormat="1" applyBorder="1" applyAlignment="1" applyProtection="1">
      <alignment horizontal="center"/>
      <protection hidden="1"/>
    </xf>
    <xf numFmtId="165" fontId="0" fillId="0" borderId="9" xfId="0" applyNumberFormat="1" applyBorder="1" applyAlignment="1" applyProtection="1">
      <alignment horizontal="center"/>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11782425" y="0"/>
          <a:ext cx="190500" cy="142875"/>
        </a:xfrm>
        <a:prstGeom prst="rect">
          <a:avLst/>
        </a:prstGeom>
        <a:noFill/>
        <a:ln w="9525" cmpd="sng">
          <a:noFill/>
        </a:ln>
      </xdr:spPr>
    </xdr:pic>
    <xdr:clientData/>
  </xdr:twoCellAnchor>
  <xdr:twoCellAnchor editAs="oneCell">
    <xdr:from>
      <xdr:col>0</xdr:col>
      <xdr:colOff>0</xdr:colOff>
      <xdr:row>35</xdr:row>
      <xdr:rowOff>0</xdr:rowOff>
    </xdr:from>
    <xdr:to>
      <xdr:col>0</xdr:col>
      <xdr:colOff>190500</xdr:colOff>
      <xdr:row>35</xdr:row>
      <xdr:rowOff>142875</xdr:rowOff>
    </xdr:to>
    <xdr:pic>
      <xdr:nvPicPr>
        <xdr:cNvPr id="2" name="Picture 2" hidden="1"/>
        <xdr:cNvPicPr preferRelativeResize="1">
          <a:picLocks noChangeAspect="1"/>
        </xdr:cNvPicPr>
      </xdr:nvPicPr>
      <xdr:blipFill>
        <a:blip r:embed="rId1"/>
        <a:stretch>
          <a:fillRect/>
        </a:stretch>
      </xdr:blipFill>
      <xdr:spPr>
        <a:xfrm>
          <a:off x="0" y="8562975"/>
          <a:ext cx="190500" cy="142875"/>
        </a:xfrm>
        <a:prstGeom prst="rect">
          <a:avLst/>
        </a:prstGeom>
        <a:noFill/>
        <a:ln w="9525" cmpd="sng">
          <a:noFill/>
        </a:ln>
      </xdr:spPr>
    </xdr:pic>
    <xdr:clientData/>
  </xdr:twoCellAnchor>
  <xdr:twoCellAnchor>
    <xdr:from>
      <xdr:col>0</xdr:col>
      <xdr:colOff>19050</xdr:colOff>
      <xdr:row>36</xdr:row>
      <xdr:rowOff>57150</xdr:rowOff>
    </xdr:from>
    <xdr:to>
      <xdr:col>16</xdr:col>
      <xdr:colOff>38100</xdr:colOff>
      <xdr:row>58</xdr:row>
      <xdr:rowOff>114300</xdr:rowOff>
    </xdr:to>
    <xdr:sp>
      <xdr:nvSpPr>
        <xdr:cNvPr id="3" name="TextBox 3"/>
        <xdr:cNvSpPr txBox="1">
          <a:spLocks noChangeArrowheads="1"/>
        </xdr:cNvSpPr>
      </xdr:nvSpPr>
      <xdr:spPr>
        <a:xfrm>
          <a:off x="19050" y="8848725"/>
          <a:ext cx="13830300" cy="455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COLUMN A:  RONCHI RULING FREQUENCY IN LINE PAIRS PER MM.
COLUMN B:  1000 MICRONS DIVIDED BY THE RONCHI RULING LP/mm.  EXAMPLE 1000/240 = 4.1667 MICRONS.
COLUMN C: LINE OR SPACE WIDTH = 1000 MICRONS DIVIDED BY THE RONCHI RULING (LP/mm X 2).  EXAMPLE 1000/(240x2) = 2.0833 MICRONS.
COLUMN D: ALTA 3500 ADDRESS SIZE:  THIS IS THE GRID LAYOUT REPRESENTING THE SMALLEST INCREMENTAL DISTANCE BETWEEN TWO SNAP POINTS FOR GENERATION OF THE PHOTOTOOL. ALL DISTANCES BETWEEN 
TWO POINTS ARE REPRESENTED BY AN UNIQUE NUMBER OF ADDRESS UNITS.  THE WIDTH OF FEATURES THAT CANNOT BE REPRESENTED IN INTEGER ADDRESS UNITS ARE SNAPPED TO THE CLOSEST POINT ON THE
ADDRESS GRID.
COLUMN E:  CUMULATIVE ERROR DECISION POINT:  THIS IS 1/2 THE ADDRESS SIZE.  WHEN THE CUMMULATIVE ERROR EXCEEDS THIS NUMBER THE SNAP IS TO THE NEXT ADDRESS POINT ON THE GRID.  WHEN THIS SNAP
 OCCURS THE ERROR BETWEEN THE LAST POINT AND THE NEXT POINT IS ONE ADDRESS UNIT.
COLUMN F: LINE WIDTH DIVIDED BY ADDRESS SIZE:  THIS GIVES US THE NUMBER OF THEORETICAL ADDRESS UNITS IN ONE LINE WIDTH OR ONE SPACE WIDTH AT THIS RONCHI RUHLING FREQUENCY.
COLUMN G:  CENTERLINE TO CENTERLINE OF TOTAL WIDTH OF RULING:  THIS IS THE DISTANCE BETWEEN THE CENTER OF THE FIRST OPAQUE LINE IN THE RULING AND THE CENTER OF THE LAST OPAQUE LINE IN THE
 RULING IN MICRONS FOR THE SPECIFIED RONCHI RULING FREQUENCY.
COLUMN H:  EDGE-EDGE TOTAL WIDTH OF RULING IN MICRONS:  THIS IS THE DISTANCE FROM THE LEFT EDGE OF THE FIRST OPAQUE LINE TO THE RIGHT EDGE OF THE LAST OPAQUE LINE IN MICRONS.
COLUMN I:  EDGE-EDGE TOTAL WIDTH DIVIDED BY ADDRESS SIZE:  THIS GIVES US THE TOTAL NUMBER OF ADDRESS SNAPS FROM THE START OF THE FIRST OPAQUE RULING LINE TO THE END OF THE LAST OPAQUE
 RULING LINE.
COLUMN J:  TOTAL NUMBER OF EVEN ADDRESS INCREMENTS:  SINCE THE SYSTEM WILL SNAP TO A POINT ON THE ADDRESS GRID TO COMPLETE THE LAST LINE THIS IS THE TOTAL NUMBER OF ADDRESS INCREMENTS.
COLUMN K:  CALCULATED ADDRESS SNAP ERROR:  THIS IS NUMBER OF GRID ADDRESSES (J) TIMES THE ADDRESS INCREMENT (D) MINUS THE THEORETICAL EDGE-EDGE TOTAL WIDTH OF THE RULING (H) NORMALIZED TO
A POSITIVE NUMBER.
COLUMN L:  PERIODIC ADDRESS SNAP ERROR:  THIS IS THE ADDRESS SIZE; HOWEVER, WHEN THE RULING LINE WIDTH IS AN EXACT MULTIPLE OF THE ADDRESS THERE IS NO PERIODIC ADDDRESS SNAP ERROR.
COLUMN M:  SNAP ERROR OCCURS EVERY NUMBER OF LINE PAIRS:  THIS NUMBER IS ONE HALF THE ADDRESS (E), DIVIDED BY THE PRODUCT OF THE  PARTIAL NUMBER OF ADDRESS INCREMENTS THAT REPRESENT
THE LINE WIDTH (DERIVED FROM J) TIMES THE ADDRESS SIZE (D) X 2.  IN THE CASE WHERE THE PARTIAL ADDRESS SIZE BECOMES EQUAL TO OR GREATER THAN .5,  THE SNAP WOULD BE TO THE NEXT GRID POSITION; OR,
A JUMP OF ONE ADDRESS INCREMENT OF .08333 MICRONS.
COLUMN N: NUMBER OF LINE PAIRS IN RULING:  THIS EQUALS THE OVERALL RULING WIDTH (G) DIVIDED BY THE PERIOD OF THE RULING (B)
COLUMN O:  MAXIMUM REPLICATION TOLERANCE:  THIS IS THE WIDTH OF THE RULING (G) DIVIDED BY THE LENGTH OF THE RULE ON THE SCALE (68,200 MICRONS) X 1.  (THE TOLERANCE ON THE LINE RULE LENGTH IS +/-1 MICRON.)
COLUMN P:  OVERALL SNAP PLUS REPLICATION ERROR:  THIS IS THE SUM OF CALCULATED ADDRESS SNAP ERROR (K) AND THE MAXIMUM REPLICATION TOLERANCE (O).  THIS RESULT IS IN MICRONS AND WOULD
INDICATE THAT THE OVERALL ERROROF ANY OF THE RULINGS  IS LESS THAN THE ADDRESS ERROR OF .08333 MICRONS.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8"/>
  <sheetViews>
    <sheetView tabSelected="1" zoomScale="50" zoomScaleNormal="50" workbookViewId="0" topLeftCell="A1">
      <selection activeCell="I64" sqref="I64"/>
    </sheetView>
  </sheetViews>
  <sheetFormatPr defaultColWidth="9.140625" defaultRowHeight="12.75"/>
  <cols>
    <col min="1" max="1" width="12.7109375" style="0" customWidth="1"/>
    <col min="2" max="5" width="10.7109375" style="0" customWidth="1"/>
    <col min="6" max="6" width="11.7109375" style="0" customWidth="1"/>
    <col min="7" max="7" width="10.7109375" style="0" customWidth="1"/>
    <col min="8" max="8" width="12.7109375" style="0" customWidth="1"/>
    <col min="9" max="9" width="15.7109375" style="0" customWidth="1"/>
    <col min="10" max="10" width="15.421875" style="0" customWidth="1"/>
    <col min="11" max="12" width="12.7109375" style="0" customWidth="1"/>
    <col min="13" max="13" width="16.7109375" style="0" customWidth="1"/>
    <col min="14" max="14" width="12.7109375" style="0" customWidth="1"/>
    <col min="15" max="15" width="14.7109375" style="0" customWidth="1"/>
    <col min="16" max="16" width="15.7109375" style="0" customWidth="1"/>
  </cols>
  <sheetData>
    <row r="1" spans="1:21" s="6" customFormat="1" ht="62.25" customHeight="1">
      <c r="A1" s="7" t="s">
        <v>0</v>
      </c>
      <c r="B1" s="8" t="s">
        <v>9</v>
      </c>
      <c r="C1" s="8" t="s">
        <v>10</v>
      </c>
      <c r="D1" s="8" t="s">
        <v>11</v>
      </c>
      <c r="E1" s="8" t="s">
        <v>43</v>
      </c>
      <c r="F1" s="8" t="s">
        <v>12</v>
      </c>
      <c r="G1" s="8" t="s">
        <v>39</v>
      </c>
      <c r="H1" s="8" t="s">
        <v>45</v>
      </c>
      <c r="I1" s="8" t="s">
        <v>46</v>
      </c>
      <c r="J1" s="8" t="s">
        <v>40</v>
      </c>
      <c r="K1" s="8" t="s">
        <v>44</v>
      </c>
      <c r="L1" s="8" t="s">
        <v>47</v>
      </c>
      <c r="M1" s="8" t="s">
        <v>48</v>
      </c>
      <c r="N1" s="8" t="s">
        <v>49</v>
      </c>
      <c r="O1" s="8" t="s">
        <v>41</v>
      </c>
      <c r="P1" s="9" t="s">
        <v>42</v>
      </c>
      <c r="Q1" s="4"/>
      <c r="R1" s="4"/>
      <c r="S1" s="4"/>
      <c r="T1" s="4"/>
      <c r="U1" s="5"/>
    </row>
    <row r="2" spans="1:20" ht="18" customHeight="1">
      <c r="A2" s="10" t="s">
        <v>1</v>
      </c>
      <c r="B2" s="11">
        <f>1000/240</f>
        <v>4.166666666666667</v>
      </c>
      <c r="C2" s="12">
        <f>B2/2</f>
        <v>2.0833333333333335</v>
      </c>
      <c r="D2" s="13">
        <v>0.08333</v>
      </c>
      <c r="E2" s="14">
        <f>D2/2</f>
        <v>0.041665</v>
      </c>
      <c r="F2" s="15">
        <f>C2/D2</f>
        <v>25.0010000400016</v>
      </c>
      <c r="G2" s="16">
        <v>1495.833</v>
      </c>
      <c r="H2" s="16">
        <f>G2+2.08333</f>
        <v>1497.91633</v>
      </c>
      <c r="I2" s="15">
        <f>H2/D2</f>
        <v>17975.714988599542</v>
      </c>
      <c r="J2" s="13">
        <v>17976</v>
      </c>
      <c r="K2" s="13">
        <f>J2*D2-H2</f>
        <v>0.023750000000063665</v>
      </c>
      <c r="L2" s="13">
        <f>D2</f>
        <v>0.08333</v>
      </c>
      <c r="M2" s="17">
        <f>E2/(0.001*D2*2)</f>
        <v>250</v>
      </c>
      <c r="N2" s="18">
        <f>G2/(2*C2)</f>
        <v>358.99992</v>
      </c>
      <c r="O2" s="12">
        <f>G2/68200</f>
        <v>0.021933035190615836</v>
      </c>
      <c r="P2" s="19">
        <f>K2+O2</f>
        <v>0.0456830351906795</v>
      </c>
      <c r="Q2" s="1"/>
      <c r="R2" s="1"/>
      <c r="S2" s="1"/>
      <c r="T2" s="1"/>
    </row>
    <row r="3" spans="1:20" ht="18" customHeight="1">
      <c r="A3" s="10" t="s">
        <v>2</v>
      </c>
      <c r="B3" s="11">
        <f>1000/260</f>
        <v>3.8461538461538463</v>
      </c>
      <c r="C3" s="12">
        <f aca="true" t="shared" si="0" ref="C3:C35">B3/2</f>
        <v>1.9230769230769231</v>
      </c>
      <c r="D3" s="13">
        <v>0.08333</v>
      </c>
      <c r="E3" s="14">
        <f aca="true" t="shared" si="1" ref="E3:E35">D3/2</f>
        <v>0.041665</v>
      </c>
      <c r="F3" s="15">
        <f aca="true" t="shared" si="2" ref="F3:F35">C3/D3</f>
        <v>23.077846190770707</v>
      </c>
      <c r="G3" s="16">
        <v>1496.154</v>
      </c>
      <c r="H3" s="16">
        <f aca="true" t="shared" si="3" ref="H3:H35">G3+2.08333</f>
        <v>1498.23733</v>
      </c>
      <c r="I3" s="15">
        <f aca="true" t="shared" si="4" ref="I3:I35">H3/D3</f>
        <v>17979.567142685708</v>
      </c>
      <c r="J3" s="13">
        <v>17980</v>
      </c>
      <c r="K3" s="13">
        <f>J3*D3-H3</f>
        <v>0.03607000000010885</v>
      </c>
      <c r="L3" s="13">
        <f aca="true" t="shared" si="5" ref="L3:L34">D3</f>
        <v>0.08333</v>
      </c>
      <c r="M3" s="17">
        <f>E3/(0.078*D3*2)</f>
        <v>3.205128205128205</v>
      </c>
      <c r="N3" s="18">
        <f aca="true" t="shared" si="6" ref="N3:N35">G3/(2*C3)</f>
        <v>389.00004</v>
      </c>
      <c r="O3" s="12">
        <f aca="true" t="shared" si="7" ref="O3:O35">G3/68200</f>
        <v>0.02193774193548387</v>
      </c>
      <c r="P3" s="19">
        <f aca="true" t="shared" si="8" ref="P3:P35">K3+O3</f>
        <v>0.058007741935592716</v>
      </c>
      <c r="Q3" s="1"/>
      <c r="R3" s="1"/>
      <c r="S3" s="1"/>
      <c r="T3" s="1"/>
    </row>
    <row r="4" spans="1:20" ht="18" customHeight="1">
      <c r="A4" s="10" t="s">
        <v>3</v>
      </c>
      <c r="B4" s="11">
        <f>1000/280</f>
        <v>3.5714285714285716</v>
      </c>
      <c r="C4" s="12">
        <f t="shared" si="0"/>
        <v>1.7857142857142858</v>
      </c>
      <c r="D4" s="13">
        <v>0.08333</v>
      </c>
      <c r="E4" s="14">
        <f t="shared" si="1"/>
        <v>0.041665</v>
      </c>
      <c r="F4" s="15">
        <f t="shared" si="2"/>
        <v>21.429428605715657</v>
      </c>
      <c r="G4" s="16">
        <v>1496.429</v>
      </c>
      <c r="H4" s="16">
        <f t="shared" si="3"/>
        <v>1498.51233</v>
      </c>
      <c r="I4" s="15">
        <f t="shared" si="4"/>
        <v>17982.867274690987</v>
      </c>
      <c r="J4" s="13">
        <v>17983</v>
      </c>
      <c r="K4" s="13">
        <f>J4*D4-H4</f>
        <v>0.011060000000043146</v>
      </c>
      <c r="L4" s="13">
        <f t="shared" si="5"/>
        <v>0.08333</v>
      </c>
      <c r="M4" s="17">
        <f>E4/(0.429*D4*2)</f>
        <v>0.5827505827505828</v>
      </c>
      <c r="N4" s="18">
        <f t="shared" si="6"/>
        <v>419.00012</v>
      </c>
      <c r="O4" s="12">
        <f t="shared" si="7"/>
        <v>0.02194177419354839</v>
      </c>
      <c r="P4" s="19">
        <f t="shared" si="8"/>
        <v>0.033001774193591536</v>
      </c>
      <c r="Q4" s="1"/>
      <c r="R4" s="1"/>
      <c r="S4" s="1"/>
      <c r="T4" s="1"/>
    </row>
    <row r="5" spans="1:20" ht="18" customHeight="1">
      <c r="A5" s="10" t="s">
        <v>4</v>
      </c>
      <c r="B5" s="11">
        <f>1000/300</f>
        <v>3.3333333333333335</v>
      </c>
      <c r="C5" s="12">
        <f t="shared" si="0"/>
        <v>1.6666666666666667</v>
      </c>
      <c r="D5" s="13">
        <v>0.08333</v>
      </c>
      <c r="E5" s="14">
        <f t="shared" si="1"/>
        <v>0.041665</v>
      </c>
      <c r="F5" s="15">
        <f t="shared" si="2"/>
        <v>20.00080003200128</v>
      </c>
      <c r="G5" s="16">
        <v>1496.667</v>
      </c>
      <c r="H5" s="16">
        <f t="shared" si="3"/>
        <v>1498.7503299999998</v>
      </c>
      <c r="I5" s="15">
        <f t="shared" si="4"/>
        <v>17985.723388935556</v>
      </c>
      <c r="J5" s="13">
        <v>17986</v>
      </c>
      <c r="K5" s="13">
        <f>J5*D5-H5</f>
        <v>0.02305000000023938</v>
      </c>
      <c r="L5" s="13">
        <f t="shared" si="5"/>
        <v>0.08333</v>
      </c>
      <c r="M5" s="13">
        <f>E5/(0.001*D5*2)</f>
        <v>250</v>
      </c>
      <c r="N5" s="18">
        <f t="shared" si="6"/>
        <v>449.0001</v>
      </c>
      <c r="O5" s="12">
        <f t="shared" si="7"/>
        <v>0.021945263929618767</v>
      </c>
      <c r="P5" s="19">
        <f t="shared" si="8"/>
        <v>0.04499526392985814</v>
      </c>
      <c r="Q5" s="1"/>
      <c r="R5" s="1"/>
      <c r="S5" s="1"/>
      <c r="T5" s="1"/>
    </row>
    <row r="6" spans="1:20" ht="18" customHeight="1">
      <c r="A6" s="10" t="s">
        <v>13</v>
      </c>
      <c r="B6" s="11">
        <f>1000/310</f>
        <v>3.225806451612903</v>
      </c>
      <c r="C6" s="12">
        <f t="shared" si="0"/>
        <v>1.6129032258064515</v>
      </c>
      <c r="D6" s="13">
        <v>0.08333</v>
      </c>
      <c r="E6" s="14">
        <f t="shared" si="1"/>
        <v>0.041665</v>
      </c>
      <c r="F6" s="15">
        <f t="shared" si="2"/>
        <v>19.355612934194784</v>
      </c>
      <c r="G6" s="16">
        <v>1496.774</v>
      </c>
      <c r="H6" s="16">
        <f t="shared" si="3"/>
        <v>1498.8573299999998</v>
      </c>
      <c r="I6" s="15">
        <f t="shared" si="4"/>
        <v>17987.00744029761</v>
      </c>
      <c r="J6" s="13">
        <v>17987</v>
      </c>
      <c r="K6" s="13">
        <f aca="true" t="shared" si="9" ref="K6:K13">(J6*D6-H6)*-1</f>
        <v>0.0006199999997988925</v>
      </c>
      <c r="L6" s="13">
        <f t="shared" si="5"/>
        <v>0.08333</v>
      </c>
      <c r="M6" s="17">
        <f>E6/(0.356*D6*2)</f>
        <v>0.702247191011236</v>
      </c>
      <c r="N6" s="18">
        <f t="shared" si="6"/>
        <v>463.99994</v>
      </c>
      <c r="O6" s="12">
        <f t="shared" si="7"/>
        <v>0.021946832844574778</v>
      </c>
      <c r="P6" s="19">
        <f t="shared" si="8"/>
        <v>0.02256683284437367</v>
      </c>
      <c r="Q6" s="1"/>
      <c r="R6" s="1"/>
      <c r="S6" s="1"/>
      <c r="T6" s="1"/>
    </row>
    <row r="7" spans="1:20" ht="18" customHeight="1">
      <c r="A7" s="10" t="s">
        <v>5</v>
      </c>
      <c r="B7" s="11">
        <f>1000/320</f>
        <v>3.125</v>
      </c>
      <c r="C7" s="12">
        <f t="shared" si="0"/>
        <v>1.5625</v>
      </c>
      <c r="D7" s="13">
        <v>0.08333</v>
      </c>
      <c r="E7" s="14">
        <f t="shared" si="1"/>
        <v>0.041665</v>
      </c>
      <c r="F7" s="15">
        <f t="shared" si="2"/>
        <v>18.7507500300012</v>
      </c>
      <c r="G7" s="16">
        <v>1496.875</v>
      </c>
      <c r="H7" s="16">
        <f t="shared" si="3"/>
        <v>1498.95833</v>
      </c>
      <c r="I7" s="15">
        <f t="shared" si="4"/>
        <v>17988.21948877955</v>
      </c>
      <c r="J7" s="13">
        <v>17988</v>
      </c>
      <c r="K7" s="13">
        <f t="shared" si="9"/>
        <v>0.018289999999979045</v>
      </c>
      <c r="L7" s="13">
        <f t="shared" si="5"/>
        <v>0.08333</v>
      </c>
      <c r="M7" s="17">
        <f>E7/((1-0.751)*D7*2)</f>
        <v>1.0040160642570282</v>
      </c>
      <c r="N7" s="18">
        <f t="shared" si="6"/>
        <v>479</v>
      </c>
      <c r="O7" s="12">
        <f t="shared" si="7"/>
        <v>0.021948313782991204</v>
      </c>
      <c r="P7" s="19">
        <f t="shared" si="8"/>
        <v>0.04023831378297025</v>
      </c>
      <c r="Q7" s="1"/>
      <c r="R7" s="1"/>
      <c r="S7" s="1"/>
      <c r="T7" s="1"/>
    </row>
    <row r="8" spans="1:20" ht="18" customHeight="1">
      <c r="A8" s="10" t="s">
        <v>14</v>
      </c>
      <c r="B8" s="11">
        <f>1000/330</f>
        <v>3.0303030303030303</v>
      </c>
      <c r="C8" s="12">
        <f t="shared" si="0"/>
        <v>1.5151515151515151</v>
      </c>
      <c r="D8" s="13">
        <v>0.08333</v>
      </c>
      <c r="E8" s="14">
        <f t="shared" si="1"/>
        <v>0.041665</v>
      </c>
      <c r="F8" s="15">
        <f t="shared" si="2"/>
        <v>18.182545483637526</v>
      </c>
      <c r="G8" s="16">
        <v>1496.97</v>
      </c>
      <c r="H8" s="16">
        <f t="shared" si="3"/>
        <v>1499.05333</v>
      </c>
      <c r="I8" s="15">
        <f t="shared" si="4"/>
        <v>17989.359534381376</v>
      </c>
      <c r="J8" s="13">
        <v>17989</v>
      </c>
      <c r="K8" s="13">
        <f t="shared" si="9"/>
        <v>0.029959999999846332</v>
      </c>
      <c r="L8" s="13">
        <f t="shared" si="5"/>
        <v>0.08333</v>
      </c>
      <c r="M8" s="17">
        <f>E8/(0.183*D8*2)</f>
        <v>1.366120218579235</v>
      </c>
      <c r="N8" s="18">
        <f t="shared" si="6"/>
        <v>494.00010000000003</v>
      </c>
      <c r="O8" s="12">
        <f t="shared" si="7"/>
        <v>0.021949706744868035</v>
      </c>
      <c r="P8" s="19">
        <f t="shared" si="8"/>
        <v>0.051909706744714366</v>
      </c>
      <c r="Q8" s="1"/>
      <c r="R8" s="1"/>
      <c r="S8" s="1"/>
      <c r="T8" s="1"/>
    </row>
    <row r="9" spans="1:20" ht="18" customHeight="1">
      <c r="A9" s="10" t="s">
        <v>6</v>
      </c>
      <c r="B9" s="11">
        <f>1000/340</f>
        <v>2.9411764705882355</v>
      </c>
      <c r="C9" s="12">
        <f t="shared" si="0"/>
        <v>1.4705882352941178</v>
      </c>
      <c r="D9" s="13">
        <v>0.08333</v>
      </c>
      <c r="E9" s="14">
        <f t="shared" si="1"/>
        <v>0.041665</v>
      </c>
      <c r="F9" s="15">
        <f t="shared" si="2"/>
        <v>17.647764734118777</v>
      </c>
      <c r="G9" s="16">
        <v>1497.059</v>
      </c>
      <c r="H9" s="16">
        <f t="shared" si="3"/>
        <v>1499.14233</v>
      </c>
      <c r="I9" s="15">
        <f t="shared" si="4"/>
        <v>17990.427577103084</v>
      </c>
      <c r="J9" s="13">
        <v>17990</v>
      </c>
      <c r="K9" s="13">
        <f t="shared" si="9"/>
        <v>0.0356299999998555</v>
      </c>
      <c r="L9" s="13">
        <f t="shared" si="5"/>
        <v>0.08333</v>
      </c>
      <c r="M9" s="17">
        <f>E9/((1-0.648)*D9*2)</f>
        <v>0.7102272727272727</v>
      </c>
      <c r="N9" s="18">
        <f t="shared" si="6"/>
        <v>509.00005999999996</v>
      </c>
      <c r="O9" s="12">
        <f t="shared" si="7"/>
        <v>0.021951011730205278</v>
      </c>
      <c r="P9" s="19">
        <f t="shared" si="8"/>
        <v>0.05758101173006078</v>
      </c>
      <c r="Q9" s="1"/>
      <c r="R9" s="1"/>
      <c r="S9" s="1"/>
      <c r="T9" s="1"/>
    </row>
    <row r="10" spans="1:20" ht="18" customHeight="1">
      <c r="A10" s="10" t="s">
        <v>15</v>
      </c>
      <c r="B10" s="11">
        <f>1000/350</f>
        <v>2.857142857142857</v>
      </c>
      <c r="C10" s="12">
        <f t="shared" si="0"/>
        <v>1.4285714285714286</v>
      </c>
      <c r="D10" s="13">
        <v>0.08333</v>
      </c>
      <c r="E10" s="14">
        <f t="shared" si="1"/>
        <v>0.041665</v>
      </c>
      <c r="F10" s="15">
        <f t="shared" si="2"/>
        <v>17.143542884572526</v>
      </c>
      <c r="G10" s="16">
        <v>1497.143</v>
      </c>
      <c r="H10" s="16">
        <f t="shared" si="3"/>
        <v>1499.22633</v>
      </c>
      <c r="I10" s="15">
        <f t="shared" si="4"/>
        <v>17991.435617424697</v>
      </c>
      <c r="J10" s="13">
        <v>17991</v>
      </c>
      <c r="K10" s="13">
        <f t="shared" si="9"/>
        <v>0.0362999999999829</v>
      </c>
      <c r="L10" s="13">
        <f t="shared" si="5"/>
        <v>0.08333</v>
      </c>
      <c r="M10" s="17">
        <f>E10/(0.144*D10*2)</f>
        <v>1.7361111111111112</v>
      </c>
      <c r="N10" s="18">
        <f t="shared" si="6"/>
        <v>524.00005</v>
      </c>
      <c r="O10" s="12">
        <f t="shared" si="7"/>
        <v>0.02195224340175953</v>
      </c>
      <c r="P10" s="19">
        <f t="shared" si="8"/>
        <v>0.05825224340174243</v>
      </c>
      <c r="Q10" s="1"/>
      <c r="R10" s="1"/>
      <c r="S10" s="1"/>
      <c r="T10" s="1"/>
    </row>
    <row r="11" spans="1:20" ht="18" customHeight="1">
      <c r="A11" s="10" t="s">
        <v>7</v>
      </c>
      <c r="B11" s="11">
        <f>1000/360</f>
        <v>2.7777777777777777</v>
      </c>
      <c r="C11" s="12">
        <f t="shared" si="0"/>
        <v>1.3888888888888888</v>
      </c>
      <c r="D11" s="13">
        <v>0.08333</v>
      </c>
      <c r="E11" s="14">
        <f t="shared" si="1"/>
        <v>0.041665</v>
      </c>
      <c r="F11" s="15">
        <f t="shared" si="2"/>
        <v>16.667333360001066</v>
      </c>
      <c r="G11" s="16">
        <v>1497.222</v>
      </c>
      <c r="H11" s="16">
        <f t="shared" si="3"/>
        <v>1499.30533</v>
      </c>
      <c r="I11" s="15">
        <f t="shared" si="4"/>
        <v>17992.383655346213</v>
      </c>
      <c r="J11" s="13">
        <v>17992</v>
      </c>
      <c r="K11" s="13">
        <f t="shared" si="9"/>
        <v>0.031970000000001164</v>
      </c>
      <c r="L11" s="13">
        <f t="shared" si="5"/>
        <v>0.08333</v>
      </c>
      <c r="M11" s="17">
        <f>E11/((1-0.667)*D11*2)</f>
        <v>0.7507507507507508</v>
      </c>
      <c r="N11" s="18">
        <f t="shared" si="6"/>
        <v>538.99992</v>
      </c>
      <c r="O11" s="12">
        <f t="shared" si="7"/>
        <v>0.02195340175953079</v>
      </c>
      <c r="P11" s="19">
        <f t="shared" si="8"/>
        <v>0.053923401759531954</v>
      </c>
      <c r="Q11" s="1"/>
      <c r="R11" s="1"/>
      <c r="S11" s="1"/>
      <c r="T11" s="1"/>
    </row>
    <row r="12" spans="1:20" ht="18" customHeight="1">
      <c r="A12" s="10" t="s">
        <v>16</v>
      </c>
      <c r="B12" s="11">
        <f>1000/370</f>
        <v>2.7027027027027026</v>
      </c>
      <c r="C12" s="12">
        <f t="shared" si="0"/>
        <v>1.3513513513513513</v>
      </c>
      <c r="D12" s="13">
        <v>0.08333</v>
      </c>
      <c r="E12" s="14">
        <f t="shared" si="1"/>
        <v>0.041665</v>
      </c>
      <c r="F12" s="15">
        <f t="shared" si="2"/>
        <v>16.21686489081185</v>
      </c>
      <c r="G12" s="16">
        <v>1497.297</v>
      </c>
      <c r="H12" s="16">
        <f t="shared" si="3"/>
        <v>1499.38033</v>
      </c>
      <c r="I12" s="15">
        <f t="shared" si="4"/>
        <v>17993.283691347653</v>
      </c>
      <c r="J12" s="13">
        <v>17993</v>
      </c>
      <c r="K12" s="13">
        <f t="shared" si="9"/>
        <v>0.02363999999988664</v>
      </c>
      <c r="L12" s="13">
        <f t="shared" si="5"/>
        <v>0.08333</v>
      </c>
      <c r="M12" s="17">
        <f>E12/(0.217*D12*2)</f>
        <v>1.1520737327188941</v>
      </c>
      <c r="N12" s="18">
        <f t="shared" si="6"/>
        <v>553.99989</v>
      </c>
      <c r="O12" s="12">
        <f t="shared" si="7"/>
        <v>0.02195450146627566</v>
      </c>
      <c r="P12" s="19">
        <f t="shared" si="8"/>
        <v>0.0455945014661623</v>
      </c>
      <c r="Q12" s="1"/>
      <c r="R12" s="1"/>
      <c r="S12" s="1"/>
      <c r="T12" s="1"/>
    </row>
    <row r="13" spans="1:20" ht="18" customHeight="1">
      <c r="A13" s="10" t="s">
        <v>8</v>
      </c>
      <c r="B13" s="11">
        <f>1000/380</f>
        <v>2.6315789473684212</v>
      </c>
      <c r="C13" s="12">
        <f t="shared" si="0"/>
        <v>1.3157894736842106</v>
      </c>
      <c r="D13" s="13">
        <v>0.08333</v>
      </c>
      <c r="E13" s="14">
        <f t="shared" si="1"/>
        <v>0.041665</v>
      </c>
      <c r="F13" s="15">
        <f t="shared" si="2"/>
        <v>15.790105288422064</v>
      </c>
      <c r="G13" s="16">
        <v>1497.368</v>
      </c>
      <c r="H13" s="16">
        <f t="shared" si="3"/>
        <v>1499.4513299999999</v>
      </c>
      <c r="I13" s="15">
        <f t="shared" si="4"/>
        <v>17994.135725429016</v>
      </c>
      <c r="J13" s="13">
        <v>17994</v>
      </c>
      <c r="K13" s="13">
        <f t="shared" si="9"/>
        <v>0.011309999999866704</v>
      </c>
      <c r="L13" s="13">
        <f t="shared" si="5"/>
        <v>0.08333</v>
      </c>
      <c r="M13" s="17">
        <f>E13/((1-0.79)*D13*2)</f>
        <v>1.1904761904761905</v>
      </c>
      <c r="N13" s="18">
        <f t="shared" si="6"/>
        <v>568.99984</v>
      </c>
      <c r="O13" s="12">
        <f t="shared" si="7"/>
        <v>0.021955542521994133</v>
      </c>
      <c r="P13" s="19">
        <f t="shared" si="8"/>
        <v>0.03326554252186084</v>
      </c>
      <c r="Q13" s="1"/>
      <c r="R13" s="1"/>
      <c r="S13" s="1"/>
      <c r="T13" s="1"/>
    </row>
    <row r="14" spans="1:20" ht="18" customHeight="1">
      <c r="A14" s="10" t="s">
        <v>17</v>
      </c>
      <c r="B14" s="11">
        <f>1000/390</f>
        <v>2.5641025641025643</v>
      </c>
      <c r="C14" s="12">
        <f t="shared" si="0"/>
        <v>1.2820512820512822</v>
      </c>
      <c r="D14" s="13">
        <v>0.08333</v>
      </c>
      <c r="E14" s="14">
        <f t="shared" si="1"/>
        <v>0.041665</v>
      </c>
      <c r="F14" s="15">
        <f t="shared" si="2"/>
        <v>15.385230793847139</v>
      </c>
      <c r="G14" s="16">
        <v>1497.436</v>
      </c>
      <c r="H14" s="16">
        <f t="shared" si="3"/>
        <v>1499.5193299999999</v>
      </c>
      <c r="I14" s="15">
        <f t="shared" si="4"/>
        <v>17994.95175807032</v>
      </c>
      <c r="J14" s="13">
        <v>17995</v>
      </c>
      <c r="K14" s="13">
        <f>J14*D14-H14</f>
        <v>0.004020000000082291</v>
      </c>
      <c r="L14" s="13">
        <f t="shared" si="5"/>
        <v>0.08333</v>
      </c>
      <c r="M14" s="17">
        <f>E14/(0.385*D14*2)</f>
        <v>0.6493506493506493</v>
      </c>
      <c r="N14" s="18">
        <f t="shared" si="6"/>
        <v>584.0000399999999</v>
      </c>
      <c r="O14" s="12">
        <f t="shared" si="7"/>
        <v>0.021956539589442815</v>
      </c>
      <c r="P14" s="19">
        <f t="shared" si="8"/>
        <v>0.025976539589525106</v>
      </c>
      <c r="Q14" s="1"/>
      <c r="R14" s="1"/>
      <c r="S14" s="1"/>
      <c r="T14" s="1"/>
    </row>
    <row r="15" spans="1:20" ht="18" customHeight="1">
      <c r="A15" s="10" t="s">
        <v>18</v>
      </c>
      <c r="B15" s="11">
        <f>1000/400</f>
        <v>2.5</v>
      </c>
      <c r="C15" s="12">
        <f t="shared" si="0"/>
        <v>1.25</v>
      </c>
      <c r="D15" s="13">
        <v>0.08333</v>
      </c>
      <c r="E15" s="14">
        <f t="shared" si="1"/>
        <v>0.041665</v>
      </c>
      <c r="F15" s="15">
        <f t="shared" si="2"/>
        <v>15.00060002400096</v>
      </c>
      <c r="G15" s="16">
        <v>1497.5</v>
      </c>
      <c r="H15" s="16">
        <f t="shared" si="3"/>
        <v>1499.58333</v>
      </c>
      <c r="I15" s="15">
        <f t="shared" si="4"/>
        <v>17995.71978879155</v>
      </c>
      <c r="J15" s="13">
        <v>17996</v>
      </c>
      <c r="K15" s="13">
        <f>J15*D15-H15</f>
        <v>0.023350000000164073</v>
      </c>
      <c r="L15" s="13">
        <f t="shared" si="5"/>
        <v>0.08333</v>
      </c>
      <c r="M15" s="13">
        <f>E15/(0.001*D15*2)</f>
        <v>250</v>
      </c>
      <c r="N15" s="18">
        <f t="shared" si="6"/>
        <v>599</v>
      </c>
      <c r="O15" s="12">
        <f t="shared" si="7"/>
        <v>0.021957478005865103</v>
      </c>
      <c r="P15" s="19">
        <f t="shared" si="8"/>
        <v>0.045307478006029175</v>
      </c>
      <c r="Q15" s="1"/>
      <c r="R15" s="1"/>
      <c r="S15" s="1"/>
      <c r="T15" s="1"/>
    </row>
    <row r="16" spans="1:20" ht="18" customHeight="1">
      <c r="A16" s="10" t="s">
        <v>19</v>
      </c>
      <c r="B16" s="11">
        <f>1000/410</f>
        <v>2.4390243902439024</v>
      </c>
      <c r="C16" s="12">
        <f t="shared" si="0"/>
        <v>1.2195121951219512</v>
      </c>
      <c r="D16" s="13">
        <v>0.08333</v>
      </c>
      <c r="E16" s="14">
        <f t="shared" si="1"/>
        <v>0.041665</v>
      </c>
      <c r="F16" s="15">
        <f t="shared" si="2"/>
        <v>14.634731730732643</v>
      </c>
      <c r="G16" s="16">
        <v>1497.561</v>
      </c>
      <c r="H16" s="16">
        <f t="shared" si="3"/>
        <v>1499.6443299999999</v>
      </c>
      <c r="I16" s="15">
        <f t="shared" si="4"/>
        <v>17996.45181807272</v>
      </c>
      <c r="J16" s="13">
        <v>17996</v>
      </c>
      <c r="K16" s="13">
        <f>(J16*D16-H16)*-1</f>
        <v>0.03764999999975771</v>
      </c>
      <c r="L16" s="13">
        <f t="shared" si="5"/>
        <v>0.08333</v>
      </c>
      <c r="M16" s="17">
        <f>E16/((1-0.635)*D16*2)</f>
        <v>0.684931506849315</v>
      </c>
      <c r="N16" s="18">
        <f t="shared" si="6"/>
        <v>614.00001</v>
      </c>
      <c r="O16" s="12">
        <f t="shared" si="7"/>
        <v>0.021958372434017593</v>
      </c>
      <c r="P16" s="19">
        <f t="shared" si="8"/>
        <v>0.0596083724337753</v>
      </c>
      <c r="Q16" s="1"/>
      <c r="R16" s="1"/>
      <c r="S16" s="1"/>
      <c r="T16" s="1"/>
    </row>
    <row r="17" spans="1:20" ht="18" customHeight="1">
      <c r="A17" s="10" t="s">
        <v>20</v>
      </c>
      <c r="B17" s="11">
        <f>1000/420</f>
        <v>2.380952380952381</v>
      </c>
      <c r="C17" s="12">
        <f t="shared" si="0"/>
        <v>1.1904761904761905</v>
      </c>
      <c r="D17" s="13">
        <v>0.08333</v>
      </c>
      <c r="E17" s="14">
        <f t="shared" si="1"/>
        <v>0.041665</v>
      </c>
      <c r="F17" s="15">
        <f t="shared" si="2"/>
        <v>14.286285737143771</v>
      </c>
      <c r="G17" s="16">
        <v>1497.619</v>
      </c>
      <c r="H17" s="16">
        <f t="shared" si="3"/>
        <v>1499.7023299999998</v>
      </c>
      <c r="I17" s="15">
        <f t="shared" si="4"/>
        <v>17997.147845913834</v>
      </c>
      <c r="J17" s="13">
        <v>17997</v>
      </c>
      <c r="K17" s="13">
        <f>(J17*D17-H17)*-1</f>
        <v>0.01231999999981781</v>
      </c>
      <c r="L17" s="13">
        <f t="shared" si="5"/>
        <v>0.08333</v>
      </c>
      <c r="M17" s="17">
        <f>E17/(0.286*D17*2)</f>
        <v>0.8741258741258743</v>
      </c>
      <c r="N17" s="18">
        <f t="shared" si="6"/>
        <v>628.9999799999999</v>
      </c>
      <c r="O17" s="12">
        <f t="shared" si="7"/>
        <v>0.021959222873900293</v>
      </c>
      <c r="P17" s="19">
        <f t="shared" si="8"/>
        <v>0.0342792228737181</v>
      </c>
      <c r="Q17" s="1"/>
      <c r="R17" s="1"/>
      <c r="S17" s="1"/>
      <c r="T17" s="1"/>
    </row>
    <row r="18" spans="1:20" ht="18" customHeight="1">
      <c r="A18" s="10" t="s">
        <v>21</v>
      </c>
      <c r="B18" s="11">
        <f>1000/430</f>
        <v>2.3255813953488373</v>
      </c>
      <c r="C18" s="12">
        <f t="shared" si="0"/>
        <v>1.1627906976744187</v>
      </c>
      <c r="D18" s="13">
        <v>0.08333</v>
      </c>
      <c r="E18" s="14">
        <f t="shared" si="1"/>
        <v>0.041665</v>
      </c>
      <c r="F18" s="15">
        <f t="shared" si="2"/>
        <v>13.954046533954383</v>
      </c>
      <c r="G18" s="16">
        <v>1497.674</v>
      </c>
      <c r="H18" s="16">
        <f t="shared" si="3"/>
        <v>1499.75733</v>
      </c>
      <c r="I18" s="15">
        <f t="shared" si="4"/>
        <v>17997.80787231489</v>
      </c>
      <c r="J18" s="13">
        <v>17998</v>
      </c>
      <c r="K18" s="13">
        <f>J18*D18-H18</f>
        <v>0.01601000000005115</v>
      </c>
      <c r="L18" s="13">
        <f t="shared" si="5"/>
        <v>0.08333</v>
      </c>
      <c r="M18" s="17">
        <f>E18/((1-0.954)*D18*2)</f>
        <v>5.434782608695648</v>
      </c>
      <c r="N18" s="18">
        <f t="shared" si="6"/>
        <v>643.99982</v>
      </c>
      <c r="O18" s="12">
        <f t="shared" si="7"/>
        <v>0.021960029325513195</v>
      </c>
      <c r="P18" s="19">
        <f t="shared" si="8"/>
        <v>0.03797002932556434</v>
      </c>
      <c r="Q18" s="1"/>
      <c r="R18" s="1"/>
      <c r="S18" s="1"/>
      <c r="T18" s="1"/>
    </row>
    <row r="19" spans="1:20" ht="18" customHeight="1">
      <c r="A19" s="10" t="s">
        <v>22</v>
      </c>
      <c r="B19" s="11">
        <f>1000/440</f>
        <v>2.272727272727273</v>
      </c>
      <c r="C19" s="12">
        <f t="shared" si="0"/>
        <v>1.1363636363636365</v>
      </c>
      <c r="D19" s="13">
        <v>0.08333</v>
      </c>
      <c r="E19" s="14">
        <f t="shared" si="1"/>
        <v>0.041665</v>
      </c>
      <c r="F19" s="15">
        <f t="shared" si="2"/>
        <v>13.636909112728146</v>
      </c>
      <c r="G19" s="16">
        <v>1497.727</v>
      </c>
      <c r="H19" s="16">
        <f t="shared" si="3"/>
        <v>1499.81033</v>
      </c>
      <c r="I19" s="15">
        <f t="shared" si="4"/>
        <v>17998.44389775591</v>
      </c>
      <c r="J19" s="13">
        <v>17998</v>
      </c>
      <c r="K19" s="13">
        <f>(J19*D19-H19)*-1</f>
        <v>0.03699000000005981</v>
      </c>
      <c r="L19" s="13">
        <f t="shared" si="5"/>
        <v>0.08333</v>
      </c>
      <c r="M19" s="17">
        <f>E19/((1-0.637)*D19*2)</f>
        <v>0.6887052341597796</v>
      </c>
      <c r="N19" s="18">
        <f t="shared" si="6"/>
        <v>658.99988</v>
      </c>
      <c r="O19" s="12">
        <f t="shared" si="7"/>
        <v>0.021960806451612906</v>
      </c>
      <c r="P19" s="19">
        <f t="shared" si="8"/>
        <v>0.058950806451672715</v>
      </c>
      <c r="Q19" s="1"/>
      <c r="R19" s="1"/>
      <c r="S19" s="1"/>
      <c r="T19" s="1"/>
    </row>
    <row r="20" spans="1:20" ht="18" customHeight="1">
      <c r="A20" s="10" t="s">
        <v>23</v>
      </c>
      <c r="B20" s="11">
        <f>1000/450</f>
        <v>2.2222222222222223</v>
      </c>
      <c r="C20" s="12">
        <f t="shared" si="0"/>
        <v>1.1111111111111112</v>
      </c>
      <c r="D20" s="13">
        <v>0.08333</v>
      </c>
      <c r="E20" s="14">
        <f t="shared" si="1"/>
        <v>0.041665</v>
      </c>
      <c r="F20" s="15">
        <f t="shared" si="2"/>
        <v>13.333866688000853</v>
      </c>
      <c r="G20" s="16">
        <v>1497.778</v>
      </c>
      <c r="H20" s="16">
        <f t="shared" si="3"/>
        <v>1499.86133</v>
      </c>
      <c r="I20" s="15">
        <f t="shared" si="4"/>
        <v>17999.05592223689</v>
      </c>
      <c r="J20" s="13">
        <v>17999</v>
      </c>
      <c r="K20" s="13">
        <f>(J20*D20-H20)*-1</f>
        <v>0.0046599999998306885</v>
      </c>
      <c r="L20" s="13">
        <f t="shared" si="5"/>
        <v>0.08333</v>
      </c>
      <c r="M20" s="17">
        <f>E20/(0.334*D20*2)</f>
        <v>0.7485029940119761</v>
      </c>
      <c r="N20" s="18">
        <f t="shared" si="6"/>
        <v>674.0001</v>
      </c>
      <c r="O20" s="12">
        <f t="shared" si="7"/>
        <v>0.021961554252199415</v>
      </c>
      <c r="P20" s="19">
        <f t="shared" si="8"/>
        <v>0.026621554252030104</v>
      </c>
      <c r="Q20" s="1"/>
      <c r="R20" s="1"/>
      <c r="S20" s="1"/>
      <c r="T20" s="1"/>
    </row>
    <row r="21" spans="1:20" ht="18" customHeight="1">
      <c r="A21" s="10" t="s">
        <v>24</v>
      </c>
      <c r="B21" s="11">
        <f>1000/460</f>
        <v>2.1739130434782608</v>
      </c>
      <c r="C21" s="12">
        <f t="shared" si="0"/>
        <v>1.0869565217391304</v>
      </c>
      <c r="D21" s="13">
        <v>0.08333</v>
      </c>
      <c r="E21" s="14">
        <f t="shared" si="1"/>
        <v>0.041665</v>
      </c>
      <c r="F21" s="15">
        <f t="shared" si="2"/>
        <v>13.0440000208704</v>
      </c>
      <c r="G21" s="16">
        <v>1497.826</v>
      </c>
      <c r="H21" s="16">
        <f t="shared" si="3"/>
        <v>1499.90933</v>
      </c>
      <c r="I21" s="15">
        <f t="shared" si="4"/>
        <v>17999.63194527781</v>
      </c>
      <c r="J21" s="13">
        <v>18000</v>
      </c>
      <c r="K21" s="13">
        <f>J21*D21-H21</f>
        <v>0.030670000000100117</v>
      </c>
      <c r="L21" s="13">
        <f t="shared" si="5"/>
        <v>0.08333</v>
      </c>
      <c r="M21" s="17">
        <f>E21/(0.044*D21*2)</f>
        <v>5.681818181818182</v>
      </c>
      <c r="N21" s="18">
        <f t="shared" si="6"/>
        <v>688.9999600000001</v>
      </c>
      <c r="O21" s="12">
        <f t="shared" si="7"/>
        <v>0.02196225806451613</v>
      </c>
      <c r="P21" s="19">
        <f t="shared" si="8"/>
        <v>0.052632258064616244</v>
      </c>
      <c r="Q21" s="1"/>
      <c r="R21" s="1"/>
      <c r="S21" s="1"/>
      <c r="T21" s="1"/>
    </row>
    <row r="22" spans="1:20" ht="18" customHeight="1">
      <c r="A22" s="10" t="s">
        <v>25</v>
      </c>
      <c r="B22" s="11">
        <f>1000/470</f>
        <v>2.127659574468085</v>
      </c>
      <c r="C22" s="12">
        <f t="shared" si="0"/>
        <v>1.0638297872340425</v>
      </c>
      <c r="D22" s="13">
        <v>0.08333</v>
      </c>
      <c r="E22" s="14">
        <f t="shared" si="1"/>
        <v>0.041665</v>
      </c>
      <c r="F22" s="15">
        <f t="shared" si="2"/>
        <v>12.76646810553273</v>
      </c>
      <c r="G22" s="16">
        <v>1497.872</v>
      </c>
      <c r="H22" s="16">
        <f t="shared" si="3"/>
        <v>1499.95533</v>
      </c>
      <c r="I22" s="15">
        <f t="shared" si="4"/>
        <v>18000.183967358695</v>
      </c>
      <c r="J22" s="13">
        <v>18000</v>
      </c>
      <c r="K22" s="13">
        <f>(J22*D22-H22)*-1</f>
        <v>0.015329999999948996</v>
      </c>
      <c r="L22" s="13">
        <f t="shared" si="5"/>
        <v>0.08333</v>
      </c>
      <c r="M22" s="17">
        <f>E22/((1-0.766)*D22*2)</f>
        <v>1.0683760683760686</v>
      </c>
      <c r="N22" s="18">
        <f t="shared" si="6"/>
        <v>703.9998400000001</v>
      </c>
      <c r="O22" s="12">
        <f t="shared" si="7"/>
        <v>0.02196293255131965</v>
      </c>
      <c r="P22" s="19">
        <f t="shared" si="8"/>
        <v>0.03729293255126864</v>
      </c>
      <c r="Q22" s="1"/>
      <c r="R22" s="1"/>
      <c r="S22" s="1"/>
      <c r="T22" s="1"/>
    </row>
    <row r="23" spans="1:20" ht="18" customHeight="1">
      <c r="A23" s="10" t="s">
        <v>26</v>
      </c>
      <c r="B23" s="11">
        <f>1000/480</f>
        <v>2.0833333333333335</v>
      </c>
      <c r="C23" s="12">
        <f t="shared" si="0"/>
        <v>1.0416666666666667</v>
      </c>
      <c r="D23" s="13">
        <v>0.08333</v>
      </c>
      <c r="E23" s="14">
        <f t="shared" si="1"/>
        <v>0.041665</v>
      </c>
      <c r="F23" s="15">
        <f t="shared" si="2"/>
        <v>12.5005000200008</v>
      </c>
      <c r="G23" s="16">
        <v>1497.917</v>
      </c>
      <c r="H23" s="16">
        <f t="shared" si="3"/>
        <v>1500.0003299999998</v>
      </c>
      <c r="I23" s="15">
        <f t="shared" si="4"/>
        <v>18000.723988959555</v>
      </c>
      <c r="J23" s="13">
        <v>18001</v>
      </c>
      <c r="K23" s="13">
        <f>J23*D23-H23</f>
        <v>0.023000000000138243</v>
      </c>
      <c r="L23" s="13">
        <f t="shared" si="5"/>
        <v>0.08333</v>
      </c>
      <c r="M23" s="17">
        <f>E23/((1-0.501)*D23*2)</f>
        <v>0.501002004008016</v>
      </c>
      <c r="N23" s="18">
        <f t="shared" si="6"/>
        <v>719.0001599999999</v>
      </c>
      <c r="O23" s="12">
        <f t="shared" si="7"/>
        <v>0.021963592375366568</v>
      </c>
      <c r="P23" s="19">
        <f t="shared" si="8"/>
        <v>0.04496359237550481</v>
      </c>
      <c r="Q23" s="1"/>
      <c r="R23" s="1"/>
      <c r="S23" s="1"/>
      <c r="T23" s="1"/>
    </row>
    <row r="24" spans="1:20" ht="18" customHeight="1">
      <c r="A24" s="10" t="s">
        <v>27</v>
      </c>
      <c r="B24" s="11">
        <f>1000/490</f>
        <v>2.0408163265306123</v>
      </c>
      <c r="C24" s="12">
        <f t="shared" si="0"/>
        <v>1.0204081632653061</v>
      </c>
      <c r="D24" s="13">
        <v>0.08333</v>
      </c>
      <c r="E24" s="14">
        <f t="shared" si="1"/>
        <v>0.041665</v>
      </c>
      <c r="F24" s="15">
        <f t="shared" si="2"/>
        <v>12.245387774694661</v>
      </c>
      <c r="G24" s="16">
        <v>1497.959</v>
      </c>
      <c r="H24" s="16">
        <f t="shared" si="3"/>
        <v>1500.04233</v>
      </c>
      <c r="I24" s="15">
        <f t="shared" si="4"/>
        <v>18001.228009120365</v>
      </c>
      <c r="J24" s="13">
        <v>18001</v>
      </c>
      <c r="K24" s="13">
        <f>(J24*D24-H24)*-1</f>
        <v>0.019000000000005457</v>
      </c>
      <c r="L24" s="13">
        <f t="shared" si="5"/>
        <v>0.08333</v>
      </c>
      <c r="M24" s="17">
        <f>E24/(0.245*D24*2)</f>
        <v>1.0204081632653061</v>
      </c>
      <c r="N24" s="18">
        <f t="shared" si="6"/>
        <v>733.99991</v>
      </c>
      <c r="O24" s="12">
        <f t="shared" si="7"/>
        <v>0.021964208211143695</v>
      </c>
      <c r="P24" s="19">
        <f t="shared" si="8"/>
        <v>0.040964208211149156</v>
      </c>
      <c r="Q24" s="1"/>
      <c r="R24" s="1"/>
      <c r="S24" s="1"/>
      <c r="T24" s="1"/>
    </row>
    <row r="25" spans="1:20" ht="18" customHeight="1">
      <c r="A25" s="10" t="s">
        <v>28</v>
      </c>
      <c r="B25" s="11">
        <f>1000/500</f>
        <v>2</v>
      </c>
      <c r="C25" s="12">
        <f t="shared" si="0"/>
        <v>1</v>
      </c>
      <c r="D25" s="13">
        <v>0.08333</v>
      </c>
      <c r="E25" s="14">
        <f t="shared" si="1"/>
        <v>0.041665</v>
      </c>
      <c r="F25" s="15">
        <f t="shared" si="2"/>
        <v>12.000480019200769</v>
      </c>
      <c r="G25" s="16">
        <v>1498</v>
      </c>
      <c r="H25" s="16">
        <f t="shared" si="3"/>
        <v>1500.08333</v>
      </c>
      <c r="I25" s="15">
        <f t="shared" si="4"/>
        <v>18001.72002880115</v>
      </c>
      <c r="J25" s="13">
        <v>18002</v>
      </c>
      <c r="K25" s="13">
        <f>J25*D25-H25</f>
        <v>0.023329999999987194</v>
      </c>
      <c r="L25" s="13">
        <v>0</v>
      </c>
      <c r="M25" s="13" t="s">
        <v>50</v>
      </c>
      <c r="N25" s="18">
        <f t="shared" si="6"/>
        <v>749</v>
      </c>
      <c r="O25" s="12">
        <f t="shared" si="7"/>
        <v>0.021964809384164223</v>
      </c>
      <c r="P25" s="19">
        <f t="shared" si="8"/>
        <v>0.04529480938415142</v>
      </c>
      <c r="Q25" s="1"/>
      <c r="R25" s="1"/>
      <c r="S25" s="1"/>
      <c r="T25" s="1"/>
    </row>
    <row r="26" spans="1:20" ht="18" customHeight="1">
      <c r="A26" s="10" t="s">
        <v>29</v>
      </c>
      <c r="B26" s="11">
        <f>1000/510</f>
        <v>1.9607843137254901</v>
      </c>
      <c r="C26" s="12">
        <f t="shared" si="0"/>
        <v>0.9803921568627451</v>
      </c>
      <c r="D26" s="13">
        <v>0.08333</v>
      </c>
      <c r="E26" s="14">
        <f t="shared" si="1"/>
        <v>0.041665</v>
      </c>
      <c r="F26" s="15">
        <f t="shared" si="2"/>
        <v>11.765176489412516</v>
      </c>
      <c r="G26" s="16">
        <v>1498.039</v>
      </c>
      <c r="H26" s="16">
        <f t="shared" si="3"/>
        <v>1500.12233</v>
      </c>
      <c r="I26" s="15">
        <f t="shared" si="4"/>
        <v>18002.1880475219</v>
      </c>
      <c r="J26" s="13">
        <v>18002</v>
      </c>
      <c r="K26" s="13">
        <f>(J26*D26-H26)*-1</f>
        <v>0.015670000000000073</v>
      </c>
      <c r="L26" s="13">
        <f t="shared" si="5"/>
        <v>0.08333</v>
      </c>
      <c r="M26" s="17">
        <f>E26/((1-0.765)*D26*2)</f>
        <v>1.0638297872340425</v>
      </c>
      <c r="N26" s="18">
        <f t="shared" si="6"/>
        <v>763.99989</v>
      </c>
      <c r="O26" s="12">
        <f t="shared" si="7"/>
        <v>0.021965381231671553</v>
      </c>
      <c r="P26" s="19">
        <f t="shared" si="8"/>
        <v>0.03763538123167162</v>
      </c>
      <c r="Q26" s="1"/>
      <c r="R26" s="1"/>
      <c r="S26" s="1"/>
      <c r="T26" s="1"/>
    </row>
    <row r="27" spans="1:20" ht="18" customHeight="1">
      <c r="A27" s="10" t="s">
        <v>30</v>
      </c>
      <c r="B27" s="11">
        <f>1000/520</f>
        <v>1.9230769230769231</v>
      </c>
      <c r="C27" s="12">
        <f t="shared" si="0"/>
        <v>0.9615384615384616</v>
      </c>
      <c r="D27" s="13">
        <v>0.08333</v>
      </c>
      <c r="E27" s="14">
        <f t="shared" si="1"/>
        <v>0.041665</v>
      </c>
      <c r="F27" s="15">
        <f t="shared" si="2"/>
        <v>11.538923095385353</v>
      </c>
      <c r="G27" s="16">
        <v>1498.077</v>
      </c>
      <c r="H27" s="16">
        <f t="shared" si="3"/>
        <v>1500.16033</v>
      </c>
      <c r="I27" s="15">
        <f t="shared" si="4"/>
        <v>18002.64406576263</v>
      </c>
      <c r="J27" s="13">
        <v>18003</v>
      </c>
      <c r="K27" s="13">
        <f>J27*D27-H27</f>
        <v>0.02966000000014901</v>
      </c>
      <c r="L27" s="13">
        <f t="shared" si="5"/>
        <v>0.08333</v>
      </c>
      <c r="M27" s="17">
        <f>E27/((1-0.539)*D27*2)</f>
        <v>0.5422993492407809</v>
      </c>
      <c r="N27" s="18">
        <f t="shared" si="6"/>
        <v>779.00004</v>
      </c>
      <c r="O27" s="12">
        <f t="shared" si="7"/>
        <v>0.021965938416422286</v>
      </c>
      <c r="P27" s="19">
        <f t="shared" si="8"/>
        <v>0.0516259384165713</v>
      </c>
      <c r="Q27" s="1"/>
      <c r="R27" s="1"/>
      <c r="S27" s="1"/>
      <c r="T27" s="1"/>
    </row>
    <row r="28" spans="1:20" ht="18" customHeight="1">
      <c r="A28" s="10" t="s">
        <v>31</v>
      </c>
      <c r="B28" s="11">
        <f>1000/530</f>
        <v>1.8867924528301887</v>
      </c>
      <c r="C28" s="12">
        <f t="shared" si="0"/>
        <v>0.9433962264150944</v>
      </c>
      <c r="D28" s="13">
        <v>0.08333</v>
      </c>
      <c r="E28" s="14">
        <f t="shared" si="1"/>
        <v>0.041665</v>
      </c>
      <c r="F28" s="15">
        <f t="shared" si="2"/>
        <v>11.321207565283743</v>
      </c>
      <c r="G28" s="16">
        <v>1498.113</v>
      </c>
      <c r="H28" s="16">
        <f t="shared" si="3"/>
        <v>1500.19633</v>
      </c>
      <c r="I28" s="15">
        <f t="shared" si="4"/>
        <v>18003.07608304332</v>
      </c>
      <c r="J28" s="13">
        <v>18003</v>
      </c>
      <c r="K28" s="13">
        <f>(J28*D28-H28)*-1</f>
        <v>0.006339999999909196</v>
      </c>
      <c r="L28" s="13">
        <f t="shared" si="5"/>
        <v>0.08333</v>
      </c>
      <c r="M28" s="17">
        <f>E28/(0.321*D28*2)</f>
        <v>0.778816199376947</v>
      </c>
      <c r="N28" s="18">
        <f t="shared" si="6"/>
        <v>793.99989</v>
      </c>
      <c r="O28" s="12">
        <f t="shared" si="7"/>
        <v>0.021966466275659825</v>
      </c>
      <c r="P28" s="19">
        <f t="shared" si="8"/>
        <v>0.02830646627556902</v>
      </c>
      <c r="Q28" s="1"/>
      <c r="R28" s="1"/>
      <c r="S28" s="1"/>
      <c r="T28" s="1"/>
    </row>
    <row r="29" spans="1:20" ht="18" customHeight="1">
      <c r="A29" s="10" t="s">
        <v>32</v>
      </c>
      <c r="B29" s="11">
        <f>1000/540</f>
        <v>1.8518518518518519</v>
      </c>
      <c r="C29" s="12">
        <f t="shared" si="0"/>
        <v>0.9259259259259259</v>
      </c>
      <c r="D29" s="13">
        <v>0.08333</v>
      </c>
      <c r="E29" s="14">
        <f t="shared" si="1"/>
        <v>0.041665</v>
      </c>
      <c r="F29" s="15">
        <f t="shared" si="2"/>
        <v>11.111555573334044</v>
      </c>
      <c r="G29" s="16">
        <v>1498.148</v>
      </c>
      <c r="H29" s="16">
        <f t="shared" si="3"/>
        <v>1500.2313299999998</v>
      </c>
      <c r="I29" s="15">
        <f t="shared" si="4"/>
        <v>18003.496099843993</v>
      </c>
      <c r="J29" s="13">
        <v>18003</v>
      </c>
      <c r="K29" s="13">
        <f>(J29*D29-H29)*-1</f>
        <v>0.04133999999976368</v>
      </c>
      <c r="L29" s="13">
        <f t="shared" si="5"/>
        <v>0.08333</v>
      </c>
      <c r="M29" s="17">
        <f>E29/(0.112*D29*2)</f>
        <v>2.232142857142857</v>
      </c>
      <c r="N29" s="18">
        <f t="shared" si="6"/>
        <v>808.99992</v>
      </c>
      <c r="O29" s="12">
        <f t="shared" si="7"/>
        <v>0.02196697947214076</v>
      </c>
      <c r="P29" s="19">
        <f t="shared" si="8"/>
        <v>0.06330697947190445</v>
      </c>
      <c r="Q29" s="1"/>
      <c r="R29" s="1"/>
      <c r="S29" s="1"/>
      <c r="T29" s="1"/>
    </row>
    <row r="30" spans="1:20" ht="18" customHeight="1">
      <c r="A30" s="10" t="s">
        <v>33</v>
      </c>
      <c r="B30" s="11">
        <f>1000/550</f>
        <v>1.8181818181818181</v>
      </c>
      <c r="C30" s="12">
        <f t="shared" si="0"/>
        <v>0.9090909090909091</v>
      </c>
      <c r="D30" s="13">
        <v>0.08333</v>
      </c>
      <c r="E30" s="14">
        <f t="shared" si="1"/>
        <v>0.041665</v>
      </c>
      <c r="F30" s="15">
        <f t="shared" si="2"/>
        <v>10.909527290182515</v>
      </c>
      <c r="G30" s="16">
        <v>1498.182</v>
      </c>
      <c r="H30" s="16">
        <f t="shared" si="3"/>
        <v>1500.26533</v>
      </c>
      <c r="I30" s="15">
        <f t="shared" si="4"/>
        <v>18003.904116164646</v>
      </c>
      <c r="J30" s="13">
        <v>18004</v>
      </c>
      <c r="K30" s="13">
        <f>J30*D30-H30</f>
        <v>0.007990000000063446</v>
      </c>
      <c r="L30" s="13">
        <f t="shared" si="5"/>
        <v>0.08333</v>
      </c>
      <c r="M30" s="17">
        <f>E30/((1-0.91)*D30*2)</f>
        <v>2.777777777777779</v>
      </c>
      <c r="N30" s="18">
        <f t="shared" si="6"/>
        <v>824.0001000000001</v>
      </c>
      <c r="O30" s="12">
        <f t="shared" si="7"/>
        <v>0.021967478005865102</v>
      </c>
      <c r="P30" s="19">
        <f t="shared" si="8"/>
        <v>0.02995747800592855</v>
      </c>
      <c r="Q30" s="1"/>
      <c r="R30" s="1"/>
      <c r="S30" s="1"/>
      <c r="T30" s="1"/>
    </row>
    <row r="31" spans="1:20" ht="18" customHeight="1">
      <c r="A31" s="10" t="s">
        <v>34</v>
      </c>
      <c r="B31" s="11">
        <f>1000/560</f>
        <v>1.7857142857142858</v>
      </c>
      <c r="C31" s="12">
        <f t="shared" si="0"/>
        <v>0.8928571428571429</v>
      </c>
      <c r="D31" s="13">
        <v>0.08333</v>
      </c>
      <c r="E31" s="14">
        <f t="shared" si="1"/>
        <v>0.041665</v>
      </c>
      <c r="F31" s="15">
        <f t="shared" si="2"/>
        <v>10.714714302857828</v>
      </c>
      <c r="G31" s="16">
        <v>1498.214</v>
      </c>
      <c r="H31" s="16">
        <f t="shared" si="3"/>
        <v>1500.2973299999999</v>
      </c>
      <c r="I31" s="15">
        <f t="shared" si="4"/>
        <v>18004.28813152526</v>
      </c>
      <c r="J31" s="13">
        <v>18004</v>
      </c>
      <c r="K31" s="13">
        <f>(J31*D31-H31)*-1</f>
        <v>0.024009999999861975</v>
      </c>
      <c r="L31" s="13">
        <f t="shared" si="5"/>
        <v>0.08333</v>
      </c>
      <c r="M31" s="17">
        <f>E31/((1-0.715)*D31*2)</f>
        <v>0.8771929824561402</v>
      </c>
      <c r="N31" s="18">
        <f t="shared" si="6"/>
        <v>838.99984</v>
      </c>
      <c r="O31" s="12">
        <f t="shared" si="7"/>
        <v>0.021967947214076244</v>
      </c>
      <c r="P31" s="19">
        <f t="shared" si="8"/>
        <v>0.04597794721393822</v>
      </c>
      <c r="Q31" s="1"/>
      <c r="R31" s="1"/>
      <c r="S31" s="1"/>
      <c r="T31" s="1"/>
    </row>
    <row r="32" spans="1:20" ht="18" customHeight="1">
      <c r="A32" s="10" t="s">
        <v>35</v>
      </c>
      <c r="B32" s="11">
        <f>1000/570</f>
        <v>1.7543859649122806</v>
      </c>
      <c r="C32" s="12">
        <f t="shared" si="0"/>
        <v>0.8771929824561403</v>
      </c>
      <c r="D32" s="13">
        <v>0.08333</v>
      </c>
      <c r="E32" s="14">
        <f t="shared" si="1"/>
        <v>0.041665</v>
      </c>
      <c r="F32" s="15">
        <f t="shared" si="2"/>
        <v>10.526736858948041</v>
      </c>
      <c r="G32" s="16">
        <v>1498.246</v>
      </c>
      <c r="H32" s="16">
        <f t="shared" si="3"/>
        <v>1500.32933</v>
      </c>
      <c r="I32" s="15">
        <f t="shared" si="4"/>
        <v>18004.672146885874</v>
      </c>
      <c r="J32" s="13">
        <v>18005</v>
      </c>
      <c r="K32" s="13">
        <f>J32*D32-H32</f>
        <v>0.027319999999917854</v>
      </c>
      <c r="L32" s="13">
        <f t="shared" si="5"/>
        <v>0.08333</v>
      </c>
      <c r="M32" s="17">
        <f>E32/((1-0.527)*D32*2)</f>
        <v>0.5285412262156448</v>
      </c>
      <c r="N32" s="18">
        <f t="shared" si="6"/>
        <v>854.0002200000001</v>
      </c>
      <c r="O32" s="12">
        <f t="shared" si="7"/>
        <v>0.02196841642228739</v>
      </c>
      <c r="P32" s="19">
        <f t="shared" si="8"/>
        <v>0.049288416422205245</v>
      </c>
      <c r="Q32" s="1"/>
      <c r="R32" s="1"/>
      <c r="S32" s="1"/>
      <c r="T32" s="1"/>
    </row>
    <row r="33" spans="1:20" ht="18" customHeight="1">
      <c r="A33" s="10" t="s">
        <v>36</v>
      </c>
      <c r="B33" s="11">
        <f>1000/580</f>
        <v>1.7241379310344827</v>
      </c>
      <c r="C33" s="12">
        <f t="shared" si="0"/>
        <v>0.8620689655172413</v>
      </c>
      <c r="D33" s="13">
        <v>0.08333</v>
      </c>
      <c r="E33" s="14">
        <f t="shared" si="1"/>
        <v>0.041665</v>
      </c>
      <c r="F33" s="15">
        <f t="shared" si="2"/>
        <v>10.34524139586273</v>
      </c>
      <c r="G33" s="16">
        <v>1498.276</v>
      </c>
      <c r="H33" s="16">
        <f t="shared" si="3"/>
        <v>1500.35933</v>
      </c>
      <c r="I33" s="15">
        <f t="shared" si="4"/>
        <v>18005.03216128645</v>
      </c>
      <c r="J33" s="13">
        <v>18005</v>
      </c>
      <c r="K33" s="13">
        <f>(J33*D33-H33)*-1</f>
        <v>0.0026800000000548607</v>
      </c>
      <c r="L33" s="13">
        <f t="shared" si="5"/>
        <v>0.08333</v>
      </c>
      <c r="M33" s="17">
        <f>E33/(0.345*D33*2)</f>
        <v>0.7246376811594203</v>
      </c>
      <c r="N33" s="18">
        <f t="shared" si="6"/>
        <v>869.0000800000001</v>
      </c>
      <c r="O33" s="12">
        <f t="shared" si="7"/>
        <v>0.021968856304985337</v>
      </c>
      <c r="P33" s="19">
        <f t="shared" si="8"/>
        <v>0.024648856305040198</v>
      </c>
      <c r="Q33" s="1"/>
      <c r="R33" s="1"/>
      <c r="S33" s="1"/>
      <c r="T33" s="1"/>
    </row>
    <row r="34" spans="1:20" ht="18" customHeight="1">
      <c r="A34" s="10" t="s">
        <v>37</v>
      </c>
      <c r="B34" s="11">
        <f>1000/590</f>
        <v>1.694915254237288</v>
      </c>
      <c r="C34" s="12">
        <f t="shared" si="0"/>
        <v>0.847457627118644</v>
      </c>
      <c r="D34" s="13">
        <v>0.08333</v>
      </c>
      <c r="E34" s="14">
        <f t="shared" si="1"/>
        <v>0.041665</v>
      </c>
      <c r="F34" s="15">
        <f t="shared" si="2"/>
        <v>10.169898321356582</v>
      </c>
      <c r="G34" s="16">
        <v>1498.305</v>
      </c>
      <c r="H34" s="16">
        <f t="shared" si="3"/>
        <v>1500.38833</v>
      </c>
      <c r="I34" s="15">
        <f t="shared" si="4"/>
        <v>18005.380175207007</v>
      </c>
      <c r="J34" s="13">
        <v>18005</v>
      </c>
      <c r="K34" s="13">
        <f>(J34*D34-H34)*-1</f>
        <v>0.03168000000005122</v>
      </c>
      <c r="L34" s="13">
        <f t="shared" si="5"/>
        <v>0.08333</v>
      </c>
      <c r="M34" s="17">
        <f>E34/(0.17*D34*2)</f>
        <v>1.4705882352941175</v>
      </c>
      <c r="N34" s="18">
        <f t="shared" si="6"/>
        <v>883.9999500000001</v>
      </c>
      <c r="O34" s="12">
        <f t="shared" si="7"/>
        <v>0.021969281524926686</v>
      </c>
      <c r="P34" s="19">
        <f t="shared" si="8"/>
        <v>0.05364928152497791</v>
      </c>
      <c r="Q34" s="1"/>
      <c r="R34" s="1"/>
      <c r="S34" s="1"/>
      <c r="T34" s="1"/>
    </row>
    <row r="35" spans="1:20" ht="18" customHeight="1" thickBot="1">
      <c r="A35" s="20" t="s">
        <v>38</v>
      </c>
      <c r="B35" s="21">
        <f>1000/600</f>
        <v>1.6666666666666667</v>
      </c>
      <c r="C35" s="22">
        <f t="shared" si="0"/>
        <v>0.8333333333333334</v>
      </c>
      <c r="D35" s="23">
        <v>0.08333</v>
      </c>
      <c r="E35" s="24">
        <f t="shared" si="1"/>
        <v>0.041665</v>
      </c>
      <c r="F35" s="25">
        <f t="shared" si="2"/>
        <v>10.00040001600064</v>
      </c>
      <c r="G35" s="26">
        <v>1498.333</v>
      </c>
      <c r="H35" s="26">
        <f t="shared" si="3"/>
        <v>1500.41633</v>
      </c>
      <c r="I35" s="25">
        <f t="shared" si="4"/>
        <v>18005.716188647544</v>
      </c>
      <c r="J35" s="23">
        <v>18006</v>
      </c>
      <c r="K35" s="23">
        <f>J35*D35-H35</f>
        <v>0.023650000000088767</v>
      </c>
      <c r="L35" s="23">
        <v>0</v>
      </c>
      <c r="M35" s="23" t="s">
        <v>50</v>
      </c>
      <c r="N35" s="27">
        <f t="shared" si="6"/>
        <v>898.9998</v>
      </c>
      <c r="O35" s="22">
        <f t="shared" si="7"/>
        <v>0.021969692082111438</v>
      </c>
      <c r="P35" s="28">
        <f t="shared" si="8"/>
        <v>0.04561969208220021</v>
      </c>
      <c r="Q35" s="1"/>
      <c r="R35" s="1"/>
      <c r="S35" s="1"/>
      <c r="T35" s="1"/>
    </row>
    <row r="36" spans="1:20" ht="18" customHeight="1">
      <c r="A36" s="2"/>
      <c r="B36" s="2"/>
      <c r="C36" s="2"/>
      <c r="D36" s="2"/>
      <c r="E36" s="2"/>
      <c r="F36" s="2"/>
      <c r="G36" s="2"/>
      <c r="H36" s="2"/>
      <c r="I36" s="2"/>
      <c r="J36" s="2"/>
      <c r="K36" s="2"/>
      <c r="L36" s="2"/>
      <c r="M36" s="2"/>
      <c r="N36" s="2"/>
      <c r="O36" s="2"/>
      <c r="P36" s="2"/>
      <c r="Q36" s="1"/>
      <c r="R36" s="1"/>
      <c r="S36" s="1"/>
      <c r="T36" s="1"/>
    </row>
    <row r="37" spans="1:20" ht="18" customHeight="1">
      <c r="A37" s="2"/>
      <c r="B37" s="2"/>
      <c r="C37" s="2"/>
      <c r="D37" s="2"/>
      <c r="E37" s="2"/>
      <c r="F37" s="2"/>
      <c r="G37" s="2"/>
      <c r="H37" s="2"/>
      <c r="I37" s="2"/>
      <c r="J37" s="2"/>
      <c r="K37" s="2"/>
      <c r="L37" s="2"/>
      <c r="M37" s="2"/>
      <c r="N37" s="2"/>
      <c r="O37" s="2"/>
      <c r="P37" s="2"/>
      <c r="Q37" s="1"/>
      <c r="R37" s="1"/>
      <c r="S37" s="1"/>
      <c r="T37" s="1"/>
    </row>
    <row r="38" spans="1:20" ht="18" customHeight="1">
      <c r="A38" s="2"/>
      <c r="B38" s="2"/>
      <c r="C38" s="2"/>
      <c r="D38" s="2"/>
      <c r="E38" s="2"/>
      <c r="F38" s="2"/>
      <c r="G38" s="2"/>
      <c r="H38" s="2"/>
      <c r="I38" s="2"/>
      <c r="J38" s="2"/>
      <c r="K38" s="2"/>
      <c r="L38" s="2"/>
      <c r="M38" s="2"/>
      <c r="N38" s="2"/>
      <c r="O38" s="2"/>
      <c r="P38" s="2"/>
      <c r="Q38" s="1"/>
      <c r="R38" s="1"/>
      <c r="S38" s="1"/>
      <c r="T38" s="1"/>
    </row>
    <row r="39" spans="1:20" ht="18" customHeight="1">
      <c r="A39" s="2"/>
      <c r="B39" s="2"/>
      <c r="C39" s="2"/>
      <c r="D39" s="2"/>
      <c r="E39" s="2"/>
      <c r="F39" s="2"/>
      <c r="G39" s="2"/>
      <c r="H39" s="2"/>
      <c r="I39" s="2"/>
      <c r="J39" s="2"/>
      <c r="K39" s="2"/>
      <c r="L39" s="2"/>
      <c r="M39" s="2"/>
      <c r="N39" s="2"/>
      <c r="O39" s="2"/>
      <c r="P39" s="2"/>
      <c r="Q39" s="1"/>
      <c r="R39" s="1"/>
      <c r="S39" s="1"/>
      <c r="T39" s="1"/>
    </row>
    <row r="40" spans="1:20" ht="18" customHeight="1">
      <c r="A40" s="2"/>
      <c r="B40" s="2"/>
      <c r="C40" s="2"/>
      <c r="D40" s="2"/>
      <c r="E40" s="2"/>
      <c r="F40" s="2"/>
      <c r="G40" s="2"/>
      <c r="H40" s="2"/>
      <c r="I40" s="2"/>
      <c r="J40" s="2"/>
      <c r="K40" s="2"/>
      <c r="L40" s="2"/>
      <c r="M40" s="2"/>
      <c r="N40" s="2"/>
      <c r="O40" s="2"/>
      <c r="P40" s="2"/>
      <c r="Q40" s="1"/>
      <c r="R40" s="1"/>
      <c r="S40" s="1"/>
      <c r="T40" s="1"/>
    </row>
    <row r="41" spans="1:20" ht="18" customHeight="1">
      <c r="A41" s="2"/>
      <c r="B41" s="2"/>
      <c r="C41" s="2"/>
      <c r="D41" s="2"/>
      <c r="E41" s="2"/>
      <c r="F41" s="2"/>
      <c r="G41" s="2"/>
      <c r="H41" s="2"/>
      <c r="I41" s="2"/>
      <c r="J41" s="2"/>
      <c r="K41" s="2"/>
      <c r="L41" s="2"/>
      <c r="M41" s="2"/>
      <c r="N41" s="2"/>
      <c r="O41" s="2"/>
      <c r="P41" s="2"/>
      <c r="Q41" s="1"/>
      <c r="R41" s="1"/>
      <c r="S41" s="1"/>
      <c r="T41" s="1"/>
    </row>
    <row r="42" spans="1:20" ht="18" customHeight="1">
      <c r="A42" s="2"/>
      <c r="B42" s="2"/>
      <c r="C42" s="2"/>
      <c r="D42" s="2"/>
      <c r="E42" s="2"/>
      <c r="F42" s="2"/>
      <c r="G42" s="2"/>
      <c r="H42" s="2"/>
      <c r="I42" s="2"/>
      <c r="J42" s="2"/>
      <c r="K42" s="2"/>
      <c r="L42" s="2"/>
      <c r="M42" s="2"/>
      <c r="N42" s="2"/>
      <c r="O42" s="2"/>
      <c r="P42" s="2"/>
      <c r="Q42" s="1"/>
      <c r="R42" s="1"/>
      <c r="S42" s="1"/>
      <c r="T42" s="1"/>
    </row>
    <row r="43" spans="1:20" ht="18" customHeight="1">
      <c r="A43" s="2"/>
      <c r="B43" s="2"/>
      <c r="C43" s="2"/>
      <c r="D43" s="2"/>
      <c r="E43" s="2"/>
      <c r="F43" s="2"/>
      <c r="G43" s="2"/>
      <c r="H43" s="2"/>
      <c r="I43" s="2"/>
      <c r="J43" s="2"/>
      <c r="K43" s="2"/>
      <c r="L43" s="2"/>
      <c r="M43" s="2"/>
      <c r="N43" s="2"/>
      <c r="O43" s="2"/>
      <c r="P43" s="2"/>
      <c r="Q43" s="1"/>
      <c r="R43" s="1"/>
      <c r="S43" s="1"/>
      <c r="T43" s="1"/>
    </row>
    <row r="44" spans="1:20" ht="18" customHeight="1">
      <c r="A44" s="2"/>
      <c r="B44" s="2"/>
      <c r="C44" s="2"/>
      <c r="D44" s="2"/>
      <c r="E44" s="2"/>
      <c r="F44" s="2"/>
      <c r="G44" s="2"/>
      <c r="H44" s="2"/>
      <c r="I44" s="2"/>
      <c r="J44" s="2"/>
      <c r="K44" s="2"/>
      <c r="L44" s="2"/>
      <c r="M44" s="2"/>
      <c r="N44" s="2"/>
      <c r="O44" s="2"/>
      <c r="P44" s="2"/>
      <c r="Q44" s="1"/>
      <c r="R44" s="1"/>
      <c r="S44" s="1"/>
      <c r="T44" s="1"/>
    </row>
    <row r="45" spans="1:20" ht="18" customHeight="1">
      <c r="A45" s="2"/>
      <c r="B45" s="2"/>
      <c r="C45" s="2"/>
      <c r="D45" s="2"/>
      <c r="E45" s="2"/>
      <c r="F45" s="2"/>
      <c r="G45" s="2"/>
      <c r="H45" s="2"/>
      <c r="I45" s="2"/>
      <c r="J45" s="2"/>
      <c r="K45" s="2"/>
      <c r="L45" s="2"/>
      <c r="M45" s="2"/>
      <c r="N45" s="2"/>
      <c r="O45" s="2"/>
      <c r="P45" s="2"/>
      <c r="Q45" s="1"/>
      <c r="R45" s="1"/>
      <c r="S45" s="1"/>
      <c r="T45" s="1"/>
    </row>
    <row r="46" spans="1:20" ht="18" customHeight="1">
      <c r="A46" s="2"/>
      <c r="B46" s="2"/>
      <c r="C46" s="2"/>
      <c r="D46" s="2"/>
      <c r="E46" s="2"/>
      <c r="F46" s="2"/>
      <c r="G46" s="2"/>
      <c r="H46" s="2"/>
      <c r="I46" s="2"/>
      <c r="J46" s="2"/>
      <c r="K46" s="2"/>
      <c r="L46" s="2"/>
      <c r="M46" s="2"/>
      <c r="N46" s="2"/>
      <c r="O46" s="2"/>
      <c r="P46" s="2"/>
      <c r="Q46" s="1"/>
      <c r="R46" s="1"/>
      <c r="S46" s="1"/>
      <c r="T46" s="1"/>
    </row>
    <row r="47" spans="1:20" ht="18" customHeight="1">
      <c r="A47" s="2"/>
      <c r="B47" s="2"/>
      <c r="C47" s="2"/>
      <c r="D47" s="2"/>
      <c r="E47" s="2"/>
      <c r="F47" s="2"/>
      <c r="G47" s="2"/>
      <c r="H47" s="2"/>
      <c r="I47" s="2"/>
      <c r="J47" s="2"/>
      <c r="K47" s="2"/>
      <c r="L47" s="2"/>
      <c r="M47" s="2"/>
      <c r="N47" s="2"/>
      <c r="O47" s="2"/>
      <c r="P47" s="2"/>
      <c r="Q47" s="1"/>
      <c r="R47" s="1"/>
      <c r="S47" s="1"/>
      <c r="T47" s="1"/>
    </row>
    <row r="48" spans="1:20" ht="18" customHeight="1">
      <c r="A48" s="2"/>
      <c r="B48" s="2"/>
      <c r="C48" s="2"/>
      <c r="D48" s="2"/>
      <c r="E48" s="2"/>
      <c r="F48" s="2"/>
      <c r="G48" s="2"/>
      <c r="H48" s="2"/>
      <c r="I48" s="2"/>
      <c r="J48" s="2"/>
      <c r="K48" s="2"/>
      <c r="L48" s="2"/>
      <c r="M48" s="2"/>
      <c r="N48" s="2"/>
      <c r="O48" s="2"/>
      <c r="P48" s="2"/>
      <c r="Q48" s="1"/>
      <c r="R48" s="1"/>
      <c r="S48" s="1"/>
      <c r="T48" s="1"/>
    </row>
    <row r="49" spans="1:20" ht="18" customHeight="1">
      <c r="A49" s="2"/>
      <c r="B49" s="2"/>
      <c r="C49" s="2"/>
      <c r="D49" s="2"/>
      <c r="E49" s="2"/>
      <c r="F49" s="2"/>
      <c r="G49" s="2"/>
      <c r="H49" s="2"/>
      <c r="I49" s="2"/>
      <c r="J49" s="2"/>
      <c r="K49" s="2"/>
      <c r="L49" s="2"/>
      <c r="M49" s="2"/>
      <c r="N49" s="2"/>
      <c r="O49" s="2"/>
      <c r="P49" s="2"/>
      <c r="Q49" s="1"/>
      <c r="R49" s="1"/>
      <c r="S49" s="1"/>
      <c r="T49" s="1"/>
    </row>
    <row r="50" spans="1:20" ht="18" customHeight="1">
      <c r="A50" s="2"/>
      <c r="B50" s="2"/>
      <c r="C50" s="2"/>
      <c r="D50" s="2"/>
      <c r="E50" s="2"/>
      <c r="F50" s="2"/>
      <c r="G50" s="2"/>
      <c r="H50" s="2"/>
      <c r="I50" s="2"/>
      <c r="J50" s="2"/>
      <c r="K50" s="2"/>
      <c r="L50" s="2"/>
      <c r="M50" s="2"/>
      <c r="N50" s="2"/>
      <c r="O50" s="2"/>
      <c r="P50" s="2"/>
      <c r="Q50" s="1"/>
      <c r="R50" s="1"/>
      <c r="S50" s="1"/>
      <c r="T50" s="1"/>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sheetData>
  <sheetProtection password="CD9A" sheet="1" objects="1" scenarios="1"/>
  <printOptions gridLines="1" headings="1"/>
  <pageMargins left="0.5" right="0.25" top="0.5" bottom="0.25" header="0.25" footer="0"/>
  <pageSetup fitToHeight="1" fitToWidth="1" horizontalDpi="600" verticalDpi="600" orientation="landscape" scale="54" r:id="rId2"/>
  <headerFooter alignWithMargins="0">
    <oddHeader>&amp;LDA030 20X-100X MULTIFUNCTION TARGET&amp;CRONCHI RULING ACCURACY ANALYSIS&amp;RRELEASE DATED 3-10-2003</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Max Levy Autograph,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David Metzger</cp:lastModifiedBy>
  <cp:lastPrinted>2003-03-26T14:22:10Z</cp:lastPrinted>
  <dcterms:created xsi:type="dcterms:W3CDTF">2003-03-10T15:10:26Z</dcterms:created>
  <dcterms:modified xsi:type="dcterms:W3CDTF">2003-03-26T14:23:20Z</dcterms:modified>
  <cp:category/>
  <cp:version/>
  <cp:contentType/>
  <cp:contentStatus/>
</cp:coreProperties>
</file>