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unn\Documents\UIO\Eksamen\"/>
    </mc:Choice>
  </mc:AlternateContent>
  <xr:revisionPtr revIDLastSave="0" documentId="13_ncr:1_{3B5E19A0-66D1-44F0-8A61-1750C097F8F0}" xr6:coauthVersionLast="45" xr6:coauthVersionMax="45" xr10:uidLastSave="{00000000-0000-0000-0000-000000000000}"/>
  <bookViews>
    <workbookView xWindow="-108" yWindow="-108" windowWidth="23256" windowHeight="12576" xr2:uid="{341DA0F4-1D29-4B64-AAD9-3FDCA03E36F1}"/>
  </bookViews>
  <sheets>
    <sheet name="MC 15 %" sheetId="2" r:id="rId1"/>
    <sheet name="RA m. løsn. 20 %" sheetId="3" r:id="rId2"/>
  </sheets>
  <definedNames>
    <definedName name="_xlnm.Print_Area" localSheetId="1">'RA m. løsn. 20 %'!$B$60:$K$129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9" i="3" l="1"/>
  <c r="C126" i="3"/>
  <c r="C123" i="3"/>
  <c r="D72" i="3" l="1"/>
  <c r="C72" i="3"/>
  <c r="D53" i="3"/>
  <c r="E53" i="3"/>
  <c r="D44" i="3"/>
  <c r="E44" i="3"/>
  <c r="E37" i="3"/>
  <c r="D31" i="3"/>
  <c r="E31" i="3"/>
  <c r="D25" i="3"/>
  <c r="E25" i="3"/>
  <c r="D13" i="3"/>
  <c r="E13" i="3"/>
  <c r="C188" i="2"/>
  <c r="C185" i="2"/>
  <c r="B76" i="2"/>
  <c r="B75" i="2"/>
  <c r="C67" i="2"/>
  <c r="D75" i="2" s="1"/>
  <c r="E75" i="2" s="1"/>
  <c r="E54" i="3" l="1"/>
  <c r="E55" i="3" s="1"/>
  <c r="D54" i="3"/>
  <c r="E32" i="3"/>
  <c r="D32" i="3"/>
  <c r="D61" i="3"/>
  <c r="C61" i="3"/>
  <c r="C80" i="3" s="1"/>
  <c r="C53" i="3"/>
  <c r="C44" i="3"/>
  <c r="C31" i="3"/>
  <c r="C25" i="3"/>
  <c r="C13" i="3"/>
  <c r="E9" i="3"/>
  <c r="E10" i="3" s="1"/>
  <c r="E14" i="3" s="1"/>
  <c r="E16" i="3" s="1"/>
  <c r="D9" i="3"/>
  <c r="D10" i="3" s="1"/>
  <c r="D62" i="3" s="1"/>
  <c r="C9" i="3"/>
  <c r="C10" i="3" s="1"/>
  <c r="C62" i="3" l="1"/>
  <c r="C77" i="3"/>
  <c r="D14" i="3"/>
  <c r="D16" i="3" s="1"/>
  <c r="D36" i="3" s="1"/>
  <c r="D70" i="3"/>
  <c r="C54" i="3"/>
  <c r="C32" i="3"/>
  <c r="D64" i="3"/>
  <c r="C14" i="3"/>
  <c r="C16" i="3" s="1"/>
  <c r="C71" i="3"/>
  <c r="D71" i="3"/>
  <c r="C70" i="3"/>
  <c r="C36" i="3" l="1"/>
  <c r="C37" i="3" s="1"/>
  <c r="C55" i="3" s="1"/>
  <c r="C69" i="3" s="1"/>
  <c r="D37" i="3"/>
  <c r="D55" i="3" s="1"/>
  <c r="C64" i="3"/>
  <c r="C63" i="3"/>
  <c r="D63" i="3"/>
  <c r="D65" i="3" s="1"/>
  <c r="C66" i="3"/>
  <c r="C83" i="3" s="1"/>
  <c r="D66" i="3"/>
  <c r="C67" i="3" l="1"/>
  <c r="D67" i="3"/>
  <c r="D68" i="3" s="1"/>
  <c r="C65" i="3"/>
  <c r="D69" i="3"/>
  <c r="C84" i="2"/>
  <c r="C47" i="2"/>
  <c r="C42" i="2"/>
  <c r="E41" i="2"/>
  <c r="C44" i="2" s="1"/>
  <c r="C33" i="2"/>
  <c r="C16" i="2"/>
  <c r="C68" i="3" l="1"/>
  <c r="F42" i="2"/>
  <c r="E164" i="2" l="1"/>
  <c r="E136" i="2"/>
  <c r="E135" i="2"/>
  <c r="E129" i="2"/>
  <c r="E127" i="2"/>
  <c r="E133" i="2"/>
  <c r="E125" i="2"/>
  <c r="E123" i="2"/>
  <c r="E121" i="2"/>
  <c r="E119" i="2"/>
  <c r="E117" i="2"/>
  <c r="E131" i="2" l="1"/>
  <c r="E137" i="2"/>
  <c r="E148" i="2" l="1"/>
  <c r="I159" i="2" l="1"/>
  <c r="I160" i="2"/>
  <c r="G161" i="2"/>
  <c r="E167" i="2" s="1"/>
  <c r="H161" i="2"/>
  <c r="C172" i="2"/>
  <c r="C68" i="2"/>
  <c r="D70" i="2" s="1"/>
  <c r="E67" i="2" l="1"/>
  <c r="E68" i="2" s="1"/>
  <c r="I161" i="2"/>
  <c r="C177" i="2" s="1"/>
  <c r="D146" i="2" l="1"/>
  <c r="E146" i="2" s="1"/>
  <c r="D144" i="2"/>
  <c r="E144" i="2" s="1"/>
  <c r="E142" i="2"/>
  <c r="C140" i="2"/>
  <c r="D140" i="2" s="1"/>
  <c r="E140" i="2" s="1"/>
  <c r="C91" i="2"/>
  <c r="E115" i="2" s="1"/>
</calcChain>
</file>

<file path=xl/sharedStrings.xml><?xml version="1.0" encoding="utf-8"?>
<sst xmlns="http://schemas.openxmlformats.org/spreadsheetml/2006/main" count="278" uniqueCount="232">
  <si>
    <t>Eiendeler</t>
  </si>
  <si>
    <t>Egenkapital og gjeld</t>
  </si>
  <si>
    <t>AM</t>
  </si>
  <si>
    <t>OM</t>
  </si>
  <si>
    <t>EK</t>
  </si>
  <si>
    <t>LG</t>
  </si>
  <si>
    <t>KG</t>
  </si>
  <si>
    <t>Salgsinntekt</t>
  </si>
  <si>
    <t>Varekostnad</t>
  </si>
  <si>
    <t>= SI-VK</t>
  </si>
  <si>
    <t>SI</t>
  </si>
  <si>
    <t>BF</t>
  </si>
  <si>
    <t>=X</t>
  </si>
  <si>
    <t>Svar:</t>
  </si>
  <si>
    <t>Du får oppgitt følgende nøkkeltall fra en bedrifts årsregnskap for 20x1:</t>
  </si>
  <si>
    <t>Totalkapitalens rentabilitet = 12%</t>
  </si>
  <si>
    <t>Egenkapitalandelen = 25%</t>
  </si>
  <si>
    <t>Resultatgraden = 10%</t>
  </si>
  <si>
    <t>Likviditetsgrad 1 per 31.12. 20x1 = 1,6</t>
  </si>
  <si>
    <t>Egenkapitalandelen per 31.12.20x1 = 25%</t>
  </si>
  <si>
    <t>Anleggsmidler per 31.12.20x1 = kr 6.000.000 (Per 01.01.20x1 = kr 5.500.000)</t>
  </si>
  <si>
    <t>Omløpsmidler per 31.12.20x1= kr 4.500.000 (Per 01.01.20x1 = kr 3.500.000)</t>
  </si>
  <si>
    <t>UB</t>
  </si>
  <si>
    <t>IB</t>
  </si>
  <si>
    <t>Snitt</t>
  </si>
  <si>
    <t>0,25=EK/10 500 000</t>
  </si>
  <si>
    <t xml:space="preserve">= Driftsinntekter </t>
  </si>
  <si>
    <t>TKR = Kap. Oml.hast * Res.grad</t>
  </si>
  <si>
    <t>Kap. Omløpshast</t>
  </si>
  <si>
    <t>= Driftsinntekter</t>
  </si>
  <si>
    <t>Gj. Sn. Tot.kap</t>
  </si>
  <si>
    <t>Resultatregnskap 2017</t>
  </si>
  <si>
    <t>Tilleggsopplysninger</t>
  </si>
  <si>
    <t>Med utgangspunkt i det offisielle årsregnskapet over, beregn følgende nøkkeltall for 2017:</t>
  </si>
  <si>
    <t>Driftsinntekter</t>
  </si>
  <si>
    <t xml:space="preserve">Driftskostnader </t>
  </si>
  <si>
    <t xml:space="preserve">Driftsresultat </t>
  </si>
  <si>
    <t xml:space="preserve">Renteinntekter </t>
  </si>
  <si>
    <t xml:space="preserve">Rentekostnader </t>
  </si>
  <si>
    <t xml:space="preserve">Resultat før skattekostnad </t>
  </si>
  <si>
    <t xml:space="preserve">Skattekostnad </t>
  </si>
  <si>
    <t xml:space="preserve">Årsresultat </t>
  </si>
  <si>
    <t xml:space="preserve">Anleggsmidler </t>
  </si>
  <si>
    <t>Omløpsmidler</t>
  </si>
  <si>
    <t xml:space="preserve">Sum eiendeler </t>
  </si>
  <si>
    <t xml:space="preserve">Egenkapital </t>
  </si>
  <si>
    <t xml:space="preserve">Langsiktig gjeld </t>
  </si>
  <si>
    <t xml:space="preserve">Kortsiktig gjeld </t>
  </si>
  <si>
    <t xml:space="preserve">Sum egenkapital og gjeld </t>
  </si>
  <si>
    <t xml:space="preserve">Varelager </t>
  </si>
  <si>
    <t xml:space="preserve">Kundefordringer </t>
  </si>
  <si>
    <t xml:space="preserve">Leverandørgjeld </t>
  </si>
  <si>
    <t xml:space="preserve">Varekostnad </t>
  </si>
  <si>
    <t>Likviditetsgrad 1</t>
  </si>
  <si>
    <t>Totalkapitalens rentabilitet</t>
  </si>
  <si>
    <t>Utbetalinger til leverandører.</t>
  </si>
  <si>
    <t>Innbetalinger fra kunder.</t>
  </si>
  <si>
    <t>Gjennomsnittlig lagringstid varer.</t>
  </si>
  <si>
    <t>Gjennomsnittlig kredittid kunder.</t>
  </si>
  <si>
    <t>Gitt at skjulte reserver på et forretningsbygg utgjorde kr 1 000 000 per  31.12.2017. Hva blir den reelle totalkapitalen (se bort fra skatt)?</t>
  </si>
  <si>
    <t>Driftsmargin</t>
  </si>
  <si>
    <t>EK-andel</t>
  </si>
  <si>
    <t>Arbeidskapitalen</t>
  </si>
  <si>
    <t>Egenkapitalens rentabilitet</t>
  </si>
  <si>
    <t>Hva var bedriftens egenkapital per 31.12.20x1</t>
  </si>
  <si>
    <t>Hva var bedriftens driftsinntekter i 20x1?</t>
  </si>
  <si>
    <t>Hvor mye ble avsatt til utbytte til eierne</t>
  </si>
  <si>
    <t>Hva er bedriftens totale kapital pr 31.12.20x1</t>
  </si>
  <si>
    <t>Likviditetsgrad 2</t>
  </si>
  <si>
    <t>Kundefordringer</t>
  </si>
  <si>
    <t>Balanserapporten</t>
  </si>
  <si>
    <t>Resultatrapporten</t>
  </si>
  <si>
    <t>Kontantstrømrapporten</t>
  </si>
  <si>
    <t xml:space="preserve"> </t>
  </si>
  <si>
    <t>Riktig</t>
  </si>
  <si>
    <t>Feil</t>
  </si>
  <si>
    <t>Feriepenger opptjenes med 12 % og arbeidsgiveravgiften er 14,1 %.</t>
  </si>
  <si>
    <t>For juni gjelder: Brutto lønn er kr 700 000. Totalt skattetrekk i samme periode er kr 230 000. Utbetalt ferielønn i juni er kr 900 000. Ingen har sluttet i løpet av året og fått feriepenger utbetalt. Bruk informasjonen til å beregne hvilket totalbeløp som blir belastet resultatregnskapet i juni.</t>
  </si>
  <si>
    <t>Dersom vi krediterer konto for kundefordringer og debiterer konto for bank, vil totalkapitalen bli redusert.</t>
  </si>
  <si>
    <t>Følgende informasjon er gitt:</t>
  </si>
  <si>
    <t>Leverandørgjeld</t>
  </si>
  <si>
    <t>Varelager</t>
  </si>
  <si>
    <t>Utsatt skatt</t>
  </si>
  <si>
    <t xml:space="preserve">Balanse per 31.12. </t>
  </si>
  <si>
    <t>Resultatgrad</t>
  </si>
  <si>
    <t>Kap. Oml.hast</t>
  </si>
  <si>
    <t>Gjeldsgrad</t>
  </si>
  <si>
    <t xml:space="preserve">Gjennomsnittlig gjeldsrente </t>
  </si>
  <si>
    <t>Totalkapitalens rentabilitet utregnet ved Du Pont-modellen</t>
  </si>
  <si>
    <t>Egenkapitalens rentabilitet ved bruk av brekkstangformelen</t>
  </si>
  <si>
    <t>Salgsinntekter</t>
  </si>
  <si>
    <t>Driftsresultat</t>
  </si>
  <si>
    <t>Skattekostnad</t>
  </si>
  <si>
    <t>Årsresultat</t>
  </si>
  <si>
    <t>Sum eiendeler</t>
  </si>
  <si>
    <t>Egenkapital</t>
  </si>
  <si>
    <t>Langsiktig gjeld</t>
  </si>
  <si>
    <t>Kortsiktig gjeld</t>
  </si>
  <si>
    <t>Avskrivninger</t>
  </si>
  <si>
    <t>Anleggsmidler</t>
  </si>
  <si>
    <t>Andre driftskostnader</t>
  </si>
  <si>
    <t>Sum anleggsmidler</t>
  </si>
  <si>
    <t>Sum omløpsmidler</t>
  </si>
  <si>
    <t>Sum langsiktig gjeld</t>
  </si>
  <si>
    <t>Betalbar skatt</t>
  </si>
  <si>
    <t>Utbytte</t>
  </si>
  <si>
    <t>Annen kortsiktig gjeld</t>
  </si>
  <si>
    <t>Sum kortsiktig gjeld</t>
  </si>
  <si>
    <t>Sum gjeld</t>
  </si>
  <si>
    <t>X</t>
  </si>
  <si>
    <t>Hvilken regnskapsrapport viser bedriftens økonomiske stilling?</t>
  </si>
  <si>
    <t>Resultat = Inntekter - utgifter</t>
  </si>
  <si>
    <t>Resultat = Innbetalinger - utbetalinger</t>
  </si>
  <si>
    <t>Resultat = Inntekter - kostnader</t>
  </si>
  <si>
    <t>For aksjeselskaper vil resultatet være:</t>
  </si>
  <si>
    <t>Resultat = Innbetalinger - utgifter</t>
  </si>
  <si>
    <t>En virksomhet har eiendeler bokført til kr 5 000 000. Egenkapitalandelen er 30 %. Hvor stor er gjelden i kroner?</t>
  </si>
  <si>
    <t>Dersom man har kjøpt inventar på kreditt, vil balansens begge sider øke.</t>
  </si>
  <si>
    <t>Dersom vi betaler en leverandør ved å bruke bankkontoen, vil totalkapitalen bli redusert.</t>
  </si>
  <si>
    <t>6 ?</t>
  </si>
  <si>
    <t>En bedrift har per 31.12.20x1 kr 12.800.000 i egenkapital, kr 10.200.000 i omløpsmidler,</t>
  </si>
  <si>
    <t>kr 9.800.000 i anleggsmidler, kr 1.200.000 i kortsiktig gjeld. Hva er beløpet for bedriftens</t>
  </si>
  <si>
    <t>langsiktige gjeld?</t>
  </si>
  <si>
    <t>EK + Gjeld</t>
  </si>
  <si>
    <t xml:space="preserve">EK   </t>
  </si>
  <si>
    <t>En bedrift selger et vareparti for kr 110.000 inklusive mva.  Bedriften benytter en mva-sats på 25 %.  Hvor stort er salgsbeløpet som skal føres som salgsinntekt på resultatet?</t>
  </si>
  <si>
    <t xml:space="preserve">En bedrift har anskaffet et varig driftsmiddel for kr 1.000.000 eksklusive mva. Forventet levetid for driftsmiddelet er 5 år og de avskriver med 20 % i henhold til saldoavskrivningsmetoden. Anslått salgsverdi ved utløpet av levetiden er kr 100.000 eksklusive mva. Hva blir avskrivningene i år to? </t>
  </si>
  <si>
    <t>En konto som begynner på kontonummer 1 er en:</t>
  </si>
  <si>
    <t>Resultatkonto</t>
  </si>
  <si>
    <t>Balansekonto</t>
  </si>
  <si>
    <t>Varekostnader</t>
  </si>
  <si>
    <t>Lønnskostnader</t>
  </si>
  <si>
    <t>Sum driftskostnader</t>
  </si>
  <si>
    <t>Finansinntekter</t>
  </si>
  <si>
    <t>Finanskostnader</t>
  </si>
  <si>
    <t>Netto Finansposter</t>
  </si>
  <si>
    <t>Resultat før skatt</t>
  </si>
  <si>
    <t>Utsatt skattefordel</t>
  </si>
  <si>
    <t>Goodwill</t>
  </si>
  <si>
    <t>Tomter, bygninger med mer</t>
  </si>
  <si>
    <t>Maskiner og inventar</t>
  </si>
  <si>
    <t>Langsiktige fordringer</t>
  </si>
  <si>
    <t>Aksjer i tilknyttet selskap</t>
  </si>
  <si>
    <t>Andre fordringer</t>
  </si>
  <si>
    <t>Bankinnskudd og kontanter</t>
  </si>
  <si>
    <t xml:space="preserve">Sum egenkapital </t>
  </si>
  <si>
    <t>Gjeld</t>
  </si>
  <si>
    <t>Pensjonsforpliktelser</t>
  </si>
  <si>
    <t>Annen langsiktig gjeld</t>
  </si>
  <si>
    <t>Kassekreditt</t>
  </si>
  <si>
    <t>Skydig offentlige avgifter</t>
  </si>
  <si>
    <t>SUM GJELD OG EGENKAPITAL</t>
  </si>
  <si>
    <t>Her skal du gjøre dine beregninger (bruk en desimal):</t>
  </si>
  <si>
    <t>Bruttofortjenesteprosenten</t>
  </si>
  <si>
    <t>Resultatgraden</t>
  </si>
  <si>
    <t>Kapitalens omløpshastighet</t>
  </si>
  <si>
    <t>Gjennomsnittlig rentekostnad i %</t>
  </si>
  <si>
    <t>Gjeldsgraden</t>
  </si>
  <si>
    <t>Egenkapitalprosent</t>
  </si>
  <si>
    <t>Her skal du svare på spørsmål:</t>
  </si>
  <si>
    <t xml:space="preserve"> - Gjennomsnittlig rentekostnad i % har økt</t>
  </si>
  <si>
    <t xml:space="preserve"> - Gjeldsgraden er økt</t>
  </si>
  <si>
    <t xml:space="preserve"> - Gjeldsgraden er redusert</t>
  </si>
  <si>
    <t xml:space="preserve"> - Gjennomsnittlig rentekostnader i % har økt</t>
  </si>
  <si>
    <t xml:space="preserve"> - Gjennomsnittlig rentekostnader i % er redusert</t>
  </si>
  <si>
    <t xml:space="preserve"> - Totalkapitalrentabiliteten har økt</t>
  </si>
  <si>
    <t xml:space="preserve"> - Totalkapitalrentabiliteten er redusert</t>
  </si>
  <si>
    <t xml:space="preserve"> - Likviditetsgrad 1 har økt</t>
  </si>
  <si>
    <t xml:space="preserve"> - Likviditetsgrad 1 er redusert</t>
  </si>
  <si>
    <t xml:space="preserve"> - Forbedret</t>
  </si>
  <si>
    <t xml:space="preserve"> - Forverret</t>
  </si>
  <si>
    <t xml:space="preserve"> - Uendret</t>
  </si>
  <si>
    <t xml:space="preserve"> - Salgsinntekten er redusert</t>
  </si>
  <si>
    <t xml:space="preserve"> - Gjennomsnittlig pris per enhet er redusert</t>
  </si>
  <si>
    <t xml:space="preserve"> - Gjennomsnittlig varekostnad per enhet er økt</t>
  </si>
  <si>
    <t xml:space="preserve"> - Gjennomsnittlig varekostnad per enhet er redusert</t>
  </si>
  <si>
    <t xml:space="preserve"> - Det er solgt færre enheter</t>
  </si>
  <si>
    <t xml:space="preserve"> - Det er solgt flere enheter</t>
  </si>
  <si>
    <t>Hva er årsaken(e) til endringen i egenkapitalrentabiliteten fra 2017 til 2018? Sett X ved riktige påstander</t>
  </si>
  <si>
    <t>Hva kan mulige årsaker til endringen i bruttofortjenesteprosenten fra 2017 til 2018 være? Sett X ved riktige påstander</t>
  </si>
  <si>
    <t>Anleggsmidler øker med kr 750 000, leverandørgjeld øker med kr 750 000 og skyldig mva (netto) blir uforandret.</t>
  </si>
  <si>
    <t>Anleggsmidler øker med kr 562 500, leverandørgjeld reduseres med kr 750 000og skyldig mva (netto) reduseres med kr 187 500.</t>
  </si>
  <si>
    <t>Anleggsmidler øker med kr 600 000, leverandørgjeld øker med kr 750 000 og skyldig mva (netto) reduseres med kr 150 000.</t>
  </si>
  <si>
    <t>Anleggsmidler øker med kr 600 000, leverandørgjeld øker med kr 600 000 og skyldig mva (netto) blir uforandret.</t>
  </si>
  <si>
    <t>Anleggsmidler øker med kr 750 000, leverandørgjeld øker med kr 600 000 og skyldig mva (netto) øker med kr 150 000.</t>
  </si>
  <si>
    <t>Anleggsmidler øker med kr 750 000, leverandørgjeld øker med kr 562 000 og skyldig mva (netto) øker med kr 150 000.</t>
  </si>
  <si>
    <t>Kontantbeholdningen øker med kr 200 000, varelageret reduseres med kr 200 000, skyldig mva (netto) øker med kr 50 000, ordinært resultat før skattekostnad øker med kr 80 000.</t>
  </si>
  <si>
    <t>Kontantbeholdningen øker med kr 200 000, varelageret reduseres med kr 150 000, skyldig mva (netto) øker med kr 50 000, ordinært resultat før skattekostnad øker med kr 50 000.</t>
  </si>
  <si>
    <t>Kontantbeholdningen øker med kr 200 000, varelageret reduseres med kr 140 000, skyldig mva (netto) øker med kr 50 000, ordinært resultat før skattekostnad øker med kr 60 000.</t>
  </si>
  <si>
    <t>Kontantbeholdningen øker med kr 200 000, varelageret reduseres med kr 140 000, skyldig mva (netto) øker med kr 50 000, ordinært resultat før skattekostnad øker med kr 10 000.</t>
  </si>
  <si>
    <t>Kundefordringer øker med kr 200 000, varelageret reduseres med kr 90 000, skyldig mva (netto) øker med kr 50 000, ordinært resultat før skattekostnad øker med kr 60 000.</t>
  </si>
  <si>
    <t>Kundefordringer øker med kr 200 000, varelageret reduseres med kr 96 000, skyldig mva (netto) øker med kr 40 000, ordinært resultat før skattekostnad øker med kr 64 000.</t>
  </si>
  <si>
    <t xml:space="preserve">En bedrift kjøper inventar for kr 750 000 inkl. mva på kreditt. Mva-satsen er 25%. Hvilke regnskapsmessige virkninger har transaksjonen?  </t>
  </si>
  <si>
    <t xml:space="preserve">En bedrift selger varer for kr 200 000 inkl. mva på kreditt. Bruttofortjenesten ved salget er 40%. Hvilke regnskapsmessige virkninger har transaksjonen? </t>
  </si>
  <si>
    <t>= 200'-X</t>
  </si>
  <si>
    <t>200'</t>
  </si>
  <si>
    <t>=160 000-X</t>
  </si>
  <si>
    <t>Gjeldskonto</t>
  </si>
  <si>
    <t>Egenkapitalskonto</t>
  </si>
  <si>
    <t>En virksomhet har regnet ut at de variable kostnadene utgjør kr 150 per enhet, mens de faste beløper deg til kr 100 per enhet. Normalt produseres det 10 000 enheter.</t>
  </si>
  <si>
    <t>Hva er det rimelig å anta at de totale variable kostnadene beløper deg til om de produseres 11 000 enheter?</t>
  </si>
  <si>
    <t>Hva er det rimelig å anta at de totale faste kostnadene beløper deg til om de produseres 11 000 enheter?</t>
  </si>
  <si>
    <t>Kredittid kunder</t>
  </si>
  <si>
    <t>Det viste seg at det ved begynnelsen av 2018 var en skjult reserve på bygningene på kr 1 000 000. Ved slutten av 2018 var denne økt til kr 3 000 000. Hva ble det reelle driftsresultatet for 2018?</t>
  </si>
  <si>
    <t xml:space="preserve">2. </t>
  </si>
  <si>
    <t>1.</t>
  </si>
  <si>
    <t>Hva hadde skjedd med totalkapitalrentabiliteten i 2018 dersom rentekostnadene i 2018 hadde vært som rentekostnadene i 2017? (Svar med enten ØKT, MINSKET eller UENDRET.)</t>
  </si>
  <si>
    <t>UENDRET</t>
  </si>
  <si>
    <t>Innskutt egenkapital</t>
  </si>
  <si>
    <t>Opptjent egenkapital</t>
  </si>
  <si>
    <t>3.</t>
  </si>
  <si>
    <t>4.</t>
  </si>
  <si>
    <t>6.</t>
  </si>
  <si>
    <t>7.</t>
  </si>
  <si>
    <t>8.</t>
  </si>
  <si>
    <t>Forutsett at finanskostnader i sin helhet er lånekostnader.</t>
  </si>
  <si>
    <t>Mva er 25 % og vi beregner utifra at det er 360 dager i året.</t>
  </si>
  <si>
    <t>Hva ble varekjøpet i 2018 ekskl mva?</t>
  </si>
  <si>
    <t>Hva ble innbetalt fra kunder i 2018 inkl mva?</t>
  </si>
  <si>
    <t>9.</t>
  </si>
  <si>
    <t xml:space="preserve">5. </t>
  </si>
  <si>
    <t>Hva har skjedd med soliditeten fra 2017 til 2018? Sett X ved riktig påstand</t>
  </si>
  <si>
    <t>Hva hadde skjedd med likviditeten hvis avskrivningskostnadene hadde økt med kr 100 000? Sett X ved riktig påstand</t>
  </si>
  <si>
    <t>Hva har skjedd med likviditeten fra 2017 til 2018? Sett X ved riktig påstand</t>
  </si>
  <si>
    <t>10.</t>
  </si>
  <si>
    <t>Hva ble mest sannsynlig utbetalt som utbytte i 2018?</t>
  </si>
  <si>
    <t>Oppgave 1 (vektlegges 15 %)</t>
  </si>
  <si>
    <t>REGNSKAPSDATA FOR ALFA AS 2016-2018</t>
  </si>
  <si>
    <t>OPPGAVE 2 (Vektlegges 20 %)</t>
  </si>
  <si>
    <t>Dersom Alfa i 2018 solgte for kr 1 000,- til en kunde, hvor mye (i gjennomsnitt) vil bedriften da få til å dekke de indirekte kostnadene?</t>
  </si>
  <si>
    <t>Hva måtte Alfa i gjennomsnitt betale for å låne kr 1 000,- i 2018?</t>
  </si>
  <si>
    <t>INEC-1800 Eksamen med løsning - regnskapsdelen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</si>
</sst>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  <numFmt numFmtId="166" formatCode="0.0\ %"/>
    <numFmt numFmtId="167" formatCode="_ * #,##0.0_ ;_ * \-#,##0.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sz val="8"/>
      <name val="Calibri"/>
      <family val="2"/>
      <scheme val="minor"/>
    </font>
    <font>
      <b/>
      <sz val="12"/>
      <color rgb="FFFF0000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Tahoma"/>
      <family val="2"/>
    </font>
    <font>
      <sz val="12"/>
      <color rgb="FF00B05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sz val="14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0" borderId="12" xfId="0" applyNumberFormat="1" applyFont="1" applyBorder="1"/>
    <xf numFmtId="3" fontId="2" fillId="0" borderId="13" xfId="0" applyNumberFormat="1" applyFont="1" applyBorder="1"/>
    <xf numFmtId="3" fontId="2" fillId="2" borderId="0" xfId="0" applyNumberFormat="1" applyFont="1" applyFill="1"/>
    <xf numFmtId="165" fontId="2" fillId="2" borderId="0" xfId="1" applyNumberFormat="1" applyFont="1" applyFill="1"/>
    <xf numFmtId="3" fontId="3" fillId="0" borderId="13" xfId="0" applyNumberFormat="1" applyFont="1" applyBorder="1"/>
    <xf numFmtId="3" fontId="4" fillId="0" borderId="0" xfId="0" applyNumberFormat="1" applyFont="1"/>
    <xf numFmtId="9" fontId="2" fillId="0" borderId="0" xfId="2" applyFont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1" xfId="0" applyNumberFormat="1" applyFont="1" applyBorder="1"/>
    <xf numFmtId="3" fontId="2" fillId="0" borderId="0" xfId="0" applyNumberFormat="1" applyFont="1" applyBorder="1"/>
    <xf numFmtId="3" fontId="2" fillId="0" borderId="6" xfId="0" applyNumberFormat="1" applyFont="1" applyBorder="1"/>
    <xf numFmtId="3" fontId="2" fillId="0" borderId="9" xfId="0" applyNumberFormat="1" applyFont="1" applyFill="1" applyBorder="1"/>
    <xf numFmtId="3" fontId="2" fillId="0" borderId="0" xfId="0" quotePrefix="1" applyNumberFormat="1" applyFont="1"/>
    <xf numFmtId="3" fontId="2" fillId="0" borderId="5" xfId="0" applyNumberFormat="1" applyFont="1" applyBorder="1"/>
    <xf numFmtId="3" fontId="2" fillId="0" borderId="10" xfId="0" quotePrefix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9" xfId="0" applyNumberFormat="1" applyFont="1" applyBorder="1"/>
    <xf numFmtId="3" fontId="2" fillId="3" borderId="0" xfId="0" applyNumberFormat="1" applyFont="1" applyFill="1"/>
    <xf numFmtId="3" fontId="2" fillId="0" borderId="0" xfId="0" quotePrefix="1" applyNumberFormat="1" applyFont="1" applyBorder="1"/>
    <xf numFmtId="43" fontId="2" fillId="0" borderId="0" xfId="1" applyFont="1"/>
    <xf numFmtId="3" fontId="2" fillId="2" borderId="0" xfId="0" quotePrefix="1" applyNumberFormat="1" applyFont="1" applyFill="1" applyBorder="1"/>
    <xf numFmtId="3" fontId="2" fillId="0" borderId="0" xfId="0" applyNumberFormat="1" applyFont="1" applyFill="1"/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right"/>
    </xf>
    <xf numFmtId="165" fontId="2" fillId="0" borderId="0" xfId="1" applyNumberFormat="1" applyFont="1" applyFill="1"/>
    <xf numFmtId="10" fontId="2" fillId="0" borderId="0" xfId="2" applyNumberFormat="1" applyFont="1"/>
    <xf numFmtId="3" fontId="6" fillId="0" borderId="0" xfId="0" applyNumberFormat="1" applyFont="1" applyAlignment="1">
      <alignment horizontal="center"/>
    </xf>
    <xf numFmtId="165" fontId="2" fillId="0" borderId="0" xfId="1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/>
    <xf numFmtId="0" fontId="7" fillId="0" borderId="0" xfId="0" applyFont="1"/>
    <xf numFmtId="3" fontId="11" fillId="0" borderId="0" xfId="0" applyNumberFormat="1" applyFont="1" applyAlignment="1">
      <alignment horizontal="center"/>
    </xf>
    <xf numFmtId="3" fontId="12" fillId="0" borderId="0" xfId="0" applyNumberFormat="1" applyFont="1"/>
    <xf numFmtId="3" fontId="12" fillId="2" borderId="0" xfId="0" applyNumberFormat="1" applyFont="1" applyFill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3" fontId="10" fillId="0" borderId="0" xfId="0" applyNumberFormat="1" applyFont="1" applyFill="1"/>
    <xf numFmtId="3" fontId="12" fillId="0" borderId="0" xfId="0" applyNumberFormat="1" applyFont="1" applyFill="1"/>
    <xf numFmtId="43" fontId="12" fillId="0" borderId="0" xfId="1" applyFont="1"/>
    <xf numFmtId="3" fontId="12" fillId="0" borderId="10" xfId="0" quotePrefix="1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164" fontId="12" fillId="0" borderId="0" xfId="0" applyNumberFormat="1" applyFont="1"/>
    <xf numFmtId="3" fontId="12" fillId="0" borderId="0" xfId="0" quotePrefix="1" applyNumberFormat="1" applyFont="1"/>
    <xf numFmtId="3" fontId="12" fillId="0" borderId="2" xfId="0" applyNumberFormat="1" applyFont="1" applyBorder="1"/>
    <xf numFmtId="3" fontId="12" fillId="0" borderId="3" xfId="0" applyNumberFormat="1" applyFont="1" applyBorder="1"/>
    <xf numFmtId="3" fontId="12" fillId="0" borderId="4" xfId="0" applyNumberFormat="1" applyFont="1" applyBorder="1"/>
    <xf numFmtId="3" fontId="12" fillId="0" borderId="1" xfId="0" applyNumberFormat="1" applyFont="1" applyBorder="1"/>
    <xf numFmtId="3" fontId="12" fillId="0" borderId="5" xfId="0" applyNumberFormat="1" applyFont="1" applyBorder="1"/>
    <xf numFmtId="3" fontId="12" fillId="0" borderId="9" xfId="0" applyNumberFormat="1" applyFont="1" applyBorder="1"/>
    <xf numFmtId="3" fontId="12" fillId="0" borderId="6" xfId="0" applyNumberFormat="1" applyFont="1" applyBorder="1"/>
    <xf numFmtId="3" fontId="12" fillId="0" borderId="9" xfId="0" applyNumberFormat="1" applyFont="1" applyFill="1" applyBorder="1"/>
    <xf numFmtId="3" fontId="12" fillId="0" borderId="7" xfId="0" applyNumberFormat="1" applyFont="1" applyBorder="1"/>
    <xf numFmtId="3" fontId="12" fillId="0" borderId="11" xfId="0" applyNumberFormat="1" applyFont="1" applyBorder="1"/>
    <xf numFmtId="3" fontId="12" fillId="0" borderId="8" xfId="0" applyNumberFormat="1" applyFont="1" applyBorder="1"/>
    <xf numFmtId="0" fontId="15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1" fillId="0" borderId="2" xfId="0" applyFont="1" applyBorder="1"/>
    <xf numFmtId="0" fontId="11" fillId="0" borderId="1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7" xfId="0" applyFont="1" applyBorder="1"/>
    <xf numFmtId="3" fontId="12" fillId="0" borderId="18" xfId="0" applyNumberFormat="1" applyFont="1" applyBorder="1" applyAlignment="1">
      <alignment horizontal="right"/>
    </xf>
    <xf numFmtId="0" fontId="11" fillId="0" borderId="17" xfId="0" applyFont="1" applyBorder="1"/>
    <xf numFmtId="3" fontId="11" fillId="0" borderId="19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0" fontId="11" fillId="0" borderId="7" xfId="0" applyFont="1" applyBorder="1"/>
    <xf numFmtId="3" fontId="11" fillId="0" borderId="21" xfId="0" applyNumberFormat="1" applyFont="1" applyBorder="1" applyAlignment="1">
      <alignment horizontal="right"/>
    </xf>
    <xf numFmtId="0" fontId="11" fillId="0" borderId="22" xfId="0" applyFont="1" applyBorder="1"/>
    <xf numFmtId="0" fontId="11" fillId="0" borderId="23" xfId="0" applyFont="1" applyBorder="1"/>
    <xf numFmtId="3" fontId="11" fillId="0" borderId="24" xfId="0" applyNumberFormat="1" applyFont="1" applyBorder="1" applyAlignment="1">
      <alignment horizontal="right"/>
    </xf>
    <xf numFmtId="0" fontId="12" fillId="0" borderId="0" xfId="0" applyFont="1" applyFill="1"/>
    <xf numFmtId="0" fontId="11" fillId="0" borderId="2" xfId="0" applyFont="1" applyFill="1" applyBorder="1"/>
    <xf numFmtId="3" fontId="11" fillId="0" borderId="15" xfId="0" applyNumberFormat="1" applyFont="1" applyFill="1" applyBorder="1" applyAlignment="1">
      <alignment horizontal="right"/>
    </xf>
    <xf numFmtId="0" fontId="11" fillId="0" borderId="5" xfId="0" applyFont="1" applyBorder="1"/>
    <xf numFmtId="3" fontId="12" fillId="0" borderId="25" xfId="0" applyNumberFormat="1" applyFont="1" applyBorder="1" applyAlignment="1">
      <alignment horizontal="right"/>
    </xf>
    <xf numFmtId="0" fontId="11" fillId="0" borderId="26" xfId="0" applyFont="1" applyBorder="1"/>
    <xf numFmtId="3" fontId="12" fillId="0" borderId="0" xfId="0" applyNumberFormat="1" applyFont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0" fontId="12" fillId="0" borderId="22" xfId="0" applyFont="1" applyBorder="1"/>
    <xf numFmtId="0" fontId="11" fillId="0" borderId="2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29" xfId="0" applyFont="1" applyBorder="1"/>
    <xf numFmtId="166" fontId="12" fillId="0" borderId="0" xfId="2" applyNumberFormat="1" applyFont="1" applyAlignment="1">
      <alignment horizontal="right"/>
    </xf>
    <xf numFmtId="0" fontId="12" fillId="0" borderId="30" xfId="0" applyFont="1" applyBorder="1"/>
    <xf numFmtId="167" fontId="12" fillId="0" borderId="0" xfId="1" applyNumberFormat="1" applyFont="1" applyAlignment="1">
      <alignment horizontal="right"/>
    </xf>
    <xf numFmtId="0" fontId="12" fillId="0" borderId="26" xfId="0" applyFont="1" applyBorder="1"/>
    <xf numFmtId="166" fontId="12" fillId="0" borderId="20" xfId="2" applyNumberFormat="1" applyFont="1" applyBorder="1" applyAlignment="1">
      <alignment horizontal="center"/>
    </xf>
    <xf numFmtId="166" fontId="12" fillId="0" borderId="0" xfId="2" applyNumberFormat="1" applyFont="1" applyAlignment="1">
      <alignment horizontal="center"/>
    </xf>
    <xf numFmtId="0" fontId="12" fillId="0" borderId="20" xfId="0" applyFont="1" applyBorder="1" applyAlignment="1">
      <alignment horizontal="center"/>
    </xf>
    <xf numFmtId="3" fontId="3" fillId="2" borderId="0" xfId="0" applyNumberFormat="1" applyFont="1" applyFill="1"/>
    <xf numFmtId="0" fontId="12" fillId="0" borderId="17" xfId="0" applyFont="1" applyFill="1" applyBorder="1"/>
    <xf numFmtId="3" fontId="12" fillId="0" borderId="18" xfId="0" applyNumberFormat="1" applyFont="1" applyFill="1" applyBorder="1" applyAlignment="1">
      <alignment horizontal="right"/>
    </xf>
    <xf numFmtId="0" fontId="11" fillId="0" borderId="7" xfId="0" applyFont="1" applyFill="1" applyBorder="1"/>
    <xf numFmtId="3" fontId="11" fillId="0" borderId="21" xfId="0" applyNumberFormat="1" applyFont="1" applyFill="1" applyBorder="1" applyAlignment="1">
      <alignment horizontal="right"/>
    </xf>
    <xf numFmtId="166" fontId="12" fillId="0" borderId="31" xfId="2" applyNumberFormat="1" applyFont="1" applyBorder="1" applyAlignment="1">
      <alignment horizontal="center"/>
    </xf>
    <xf numFmtId="166" fontId="12" fillId="0" borderId="32" xfId="2" applyNumberFormat="1" applyFont="1" applyBorder="1" applyAlignment="1">
      <alignment horizontal="center"/>
    </xf>
    <xf numFmtId="166" fontId="12" fillId="0" borderId="33" xfId="2" applyNumberFormat="1" applyFont="1" applyBorder="1" applyAlignment="1">
      <alignment horizontal="center"/>
    </xf>
    <xf numFmtId="167" fontId="12" fillId="0" borderId="33" xfId="1" applyNumberFormat="1" applyFont="1" applyBorder="1" applyAlignment="1">
      <alignment horizontal="center"/>
    </xf>
    <xf numFmtId="43" fontId="12" fillId="0" borderId="33" xfId="1" applyFont="1" applyBorder="1" applyAlignment="1">
      <alignment horizontal="center"/>
    </xf>
    <xf numFmtId="165" fontId="12" fillId="0" borderId="34" xfId="1" applyNumberFormat="1" applyFont="1" applyBorder="1" applyAlignment="1">
      <alignment horizontal="center"/>
    </xf>
    <xf numFmtId="166" fontId="12" fillId="0" borderId="0" xfId="2" applyNumberFormat="1" applyFont="1" applyBorder="1" applyAlignment="1">
      <alignment horizontal="center"/>
    </xf>
    <xf numFmtId="166" fontId="12" fillId="0" borderId="0" xfId="2" applyNumberFormat="1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left"/>
    </xf>
    <xf numFmtId="44" fontId="8" fillId="0" borderId="0" xfId="3" applyFont="1"/>
    <xf numFmtId="44" fontId="3" fillId="2" borderId="0" xfId="3" applyFont="1" applyFill="1"/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9" fontId="12" fillId="0" borderId="0" xfId="2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2CDB0-F545-4188-81C6-F75640CB00FF}">
  <dimension ref="A1:L191"/>
  <sheetViews>
    <sheetView tabSelected="1" workbookViewId="0"/>
  </sheetViews>
  <sheetFormatPr defaultRowHeight="15" x14ac:dyDescent="0.25"/>
  <cols>
    <col min="1" max="1" width="12.44140625" style="28" customWidth="1"/>
    <col min="2" max="2" width="29.88671875" style="1" customWidth="1"/>
    <col min="3" max="6" width="20.109375" style="1" customWidth="1"/>
    <col min="7" max="9" width="15.33203125" style="1" customWidth="1"/>
    <col min="10" max="10" width="8.88671875" style="1"/>
    <col min="11" max="11" width="14.88671875" style="1" customWidth="1"/>
    <col min="12" max="16384" width="8.88671875" style="1"/>
  </cols>
  <sheetData>
    <row r="1" spans="1:3" ht="22.2" x14ac:dyDescent="0.35">
      <c r="A1" s="129" t="s">
        <v>231</v>
      </c>
    </row>
    <row r="2" spans="1:3" ht="17.399999999999999" x14ac:dyDescent="0.3">
      <c r="A2" s="117" t="s">
        <v>226</v>
      </c>
    </row>
    <row r="3" spans="1:3" x14ac:dyDescent="0.25">
      <c r="A3" s="116"/>
    </row>
    <row r="4" spans="1:3" x14ac:dyDescent="0.25">
      <c r="A4" s="28">
        <v>1</v>
      </c>
      <c r="B4" s="1" t="s">
        <v>110</v>
      </c>
    </row>
    <row r="5" spans="1:3" x14ac:dyDescent="0.25">
      <c r="B5" s="5" t="s">
        <v>70</v>
      </c>
    </row>
    <row r="6" spans="1:3" x14ac:dyDescent="0.25">
      <c r="B6" s="26" t="s">
        <v>71</v>
      </c>
    </row>
    <row r="7" spans="1:3" x14ac:dyDescent="0.25">
      <c r="B7" s="1" t="s">
        <v>72</v>
      </c>
    </row>
    <row r="8" spans="1:3" x14ac:dyDescent="0.25">
      <c r="B8" s="1" t="s">
        <v>73</v>
      </c>
    </row>
    <row r="9" spans="1:3" x14ac:dyDescent="0.25">
      <c r="A9" s="28">
        <v>2</v>
      </c>
      <c r="B9" s="1" t="s">
        <v>114</v>
      </c>
    </row>
    <row r="10" spans="1:3" x14ac:dyDescent="0.25">
      <c r="B10" s="1" t="s">
        <v>111</v>
      </c>
    </row>
    <row r="11" spans="1:3" x14ac:dyDescent="0.25">
      <c r="B11" s="1" t="s">
        <v>112</v>
      </c>
    </row>
    <row r="12" spans="1:3" x14ac:dyDescent="0.25">
      <c r="B12" s="5" t="s">
        <v>113</v>
      </c>
    </row>
    <row r="13" spans="1:3" x14ac:dyDescent="0.25">
      <c r="B13" s="1" t="s">
        <v>115</v>
      </c>
    </row>
    <row r="15" spans="1:3" x14ac:dyDescent="0.25">
      <c r="A15" s="28">
        <v>3</v>
      </c>
      <c r="B15" s="1" t="s">
        <v>116</v>
      </c>
    </row>
    <row r="16" spans="1:3" x14ac:dyDescent="0.25">
      <c r="B16" s="5" t="s">
        <v>13</v>
      </c>
      <c r="C16" s="5">
        <f>5000000*0.7</f>
        <v>3500000</v>
      </c>
    </row>
    <row r="18" spans="1:2" x14ac:dyDescent="0.25">
      <c r="A18" s="28">
        <v>4</v>
      </c>
      <c r="B18" s="1" t="s">
        <v>117</v>
      </c>
    </row>
    <row r="19" spans="1:2" x14ac:dyDescent="0.25">
      <c r="B19" s="5" t="s">
        <v>74</v>
      </c>
    </row>
    <row r="20" spans="1:2" x14ac:dyDescent="0.25">
      <c r="B20" s="26" t="s">
        <v>75</v>
      </c>
    </row>
    <row r="22" spans="1:2" x14ac:dyDescent="0.25">
      <c r="A22" s="28">
        <v>5</v>
      </c>
      <c r="B22" s="1" t="s">
        <v>118</v>
      </c>
    </row>
    <row r="23" spans="1:2" x14ac:dyDescent="0.25">
      <c r="B23" s="5" t="s">
        <v>74</v>
      </c>
    </row>
    <row r="24" spans="1:2" x14ac:dyDescent="0.25">
      <c r="B24" s="26" t="s">
        <v>75</v>
      </c>
    </row>
    <row r="26" spans="1:2" x14ac:dyDescent="0.25">
      <c r="A26" s="28" t="s">
        <v>119</v>
      </c>
      <c r="B26" s="1" t="s">
        <v>78</v>
      </c>
    </row>
    <row r="27" spans="1:2" x14ac:dyDescent="0.25">
      <c r="B27" s="1" t="s">
        <v>74</v>
      </c>
    </row>
    <row r="28" spans="1:2" x14ac:dyDescent="0.25">
      <c r="B28" s="5" t="s">
        <v>75</v>
      </c>
    </row>
    <row r="29" spans="1:2" x14ac:dyDescent="0.25">
      <c r="B29" s="1" t="s">
        <v>73</v>
      </c>
    </row>
    <row r="30" spans="1:2" x14ac:dyDescent="0.25">
      <c r="A30" s="28">
        <v>7</v>
      </c>
      <c r="B30" s="1" t="s">
        <v>79</v>
      </c>
    </row>
    <row r="31" spans="1:2" x14ac:dyDescent="0.25">
      <c r="B31" s="1" t="s">
        <v>76</v>
      </c>
    </row>
    <row r="32" spans="1:2" x14ac:dyDescent="0.25">
      <c r="B32" s="1" t="s">
        <v>77</v>
      </c>
    </row>
    <row r="33" spans="1:6" x14ac:dyDescent="0.25">
      <c r="B33" s="5" t="s">
        <v>13</v>
      </c>
      <c r="C33" s="5">
        <f>700000*1.12*1.141</f>
        <v>894544.00000000012</v>
      </c>
    </row>
    <row r="35" spans="1:6" x14ac:dyDescent="0.25">
      <c r="A35" s="28">
        <v>8</v>
      </c>
      <c r="B35" s="33" t="s">
        <v>120</v>
      </c>
      <c r="C35" s="33"/>
      <c r="D35" s="33"/>
      <c r="E35" s="33"/>
      <c r="F35" s="33"/>
    </row>
    <row r="36" spans="1:6" x14ac:dyDescent="0.25">
      <c r="B36" s="33" t="s">
        <v>121</v>
      </c>
      <c r="C36" s="33"/>
      <c r="D36" s="33"/>
      <c r="E36" s="33"/>
      <c r="F36" s="33"/>
    </row>
    <row r="37" spans="1:6" x14ac:dyDescent="0.25">
      <c r="B37" s="33" t="s">
        <v>122</v>
      </c>
      <c r="C37" s="33"/>
      <c r="D37" s="33"/>
      <c r="E37" s="33"/>
      <c r="F37" s="33"/>
    </row>
    <row r="38" spans="1:6" ht="15.6" thickBot="1" x14ac:dyDescent="0.3">
      <c r="B38" s="33"/>
      <c r="C38" s="33"/>
      <c r="D38" s="33"/>
      <c r="E38" s="33"/>
      <c r="F38" s="33"/>
    </row>
    <row r="39" spans="1:6" ht="15.6" thickBot="1" x14ac:dyDescent="0.3">
      <c r="B39" s="120" t="s">
        <v>0</v>
      </c>
      <c r="C39" s="121"/>
      <c r="D39" s="120" t="s">
        <v>123</v>
      </c>
      <c r="E39" s="122"/>
      <c r="F39" s="121"/>
    </row>
    <row r="40" spans="1:6" ht="15.6" thickBot="1" x14ac:dyDescent="0.3">
      <c r="B40" s="10" t="s">
        <v>2</v>
      </c>
      <c r="C40" s="11" t="s">
        <v>3</v>
      </c>
      <c r="D40" s="10" t="s">
        <v>124</v>
      </c>
      <c r="E40" s="12" t="s">
        <v>5</v>
      </c>
      <c r="F40" s="13" t="s">
        <v>6</v>
      </c>
    </row>
    <row r="41" spans="1:6" ht="15.6" thickBot="1" x14ac:dyDescent="0.3">
      <c r="B41" s="21">
        <v>9800000</v>
      </c>
      <c r="C41" s="1">
        <v>10200000</v>
      </c>
      <c r="D41" s="18">
        <v>12800000</v>
      </c>
      <c r="E41" s="15">
        <f>20000000-14000000</f>
        <v>6000000</v>
      </c>
      <c r="F41" s="16">
        <v>1200000</v>
      </c>
    </row>
    <row r="42" spans="1:6" ht="15.6" thickBot="1" x14ac:dyDescent="0.3">
      <c r="B42" s="13"/>
      <c r="C42" s="12">
        <f>SUM(B41:C41)</f>
        <v>20000000</v>
      </c>
      <c r="D42" s="10"/>
      <c r="E42" s="12"/>
      <c r="F42" s="13">
        <f>SUM(D41:F41)</f>
        <v>20000000</v>
      </c>
    </row>
    <row r="43" spans="1:6" x14ac:dyDescent="0.25">
      <c r="B43" s="14"/>
      <c r="C43" s="14"/>
      <c r="D43" s="14"/>
      <c r="E43" s="14"/>
      <c r="F43" s="14"/>
    </row>
    <row r="44" spans="1:6" x14ac:dyDescent="0.25">
      <c r="B44" s="5" t="s">
        <v>13</v>
      </c>
      <c r="C44" s="5">
        <f>E41</f>
        <v>6000000</v>
      </c>
    </row>
    <row r="45" spans="1:6" x14ac:dyDescent="0.25">
      <c r="C45" s="26"/>
      <c r="D45" s="26"/>
    </row>
    <row r="46" spans="1:6" x14ac:dyDescent="0.25">
      <c r="A46" s="28">
        <v>9</v>
      </c>
      <c r="B46" s="1" t="s">
        <v>125</v>
      </c>
    </row>
    <row r="47" spans="1:6" x14ac:dyDescent="0.25">
      <c r="B47" s="5" t="s">
        <v>13</v>
      </c>
      <c r="C47" s="5">
        <f>110000/1.25</f>
        <v>88000</v>
      </c>
    </row>
    <row r="49" spans="1:7" s="38" customFormat="1" x14ac:dyDescent="0.25">
      <c r="A49" s="37">
        <v>10</v>
      </c>
      <c r="B49" s="38" t="s">
        <v>192</v>
      </c>
    </row>
    <row r="50" spans="1:7" s="38" customFormat="1" x14ac:dyDescent="0.25">
      <c r="A50" s="37"/>
    </row>
    <row r="51" spans="1:7" s="38" customFormat="1" x14ac:dyDescent="0.25">
      <c r="A51" s="37"/>
      <c r="B51" s="38" t="s">
        <v>180</v>
      </c>
    </row>
    <row r="52" spans="1:7" s="38" customFormat="1" x14ac:dyDescent="0.25">
      <c r="A52" s="37"/>
      <c r="B52" s="38" t="s">
        <v>184</v>
      </c>
    </row>
    <row r="53" spans="1:7" s="38" customFormat="1" x14ac:dyDescent="0.25">
      <c r="A53" s="37"/>
      <c r="B53" s="38" t="s">
        <v>185</v>
      </c>
    </row>
    <row r="54" spans="1:7" s="38" customFormat="1" x14ac:dyDescent="0.25">
      <c r="A54" s="37"/>
      <c r="B54" s="39" t="s">
        <v>182</v>
      </c>
      <c r="C54" s="39"/>
      <c r="D54" s="39"/>
      <c r="E54" s="39"/>
      <c r="F54" s="39"/>
      <c r="G54" s="39"/>
    </row>
    <row r="55" spans="1:7" s="38" customFormat="1" x14ac:dyDescent="0.25">
      <c r="A55" s="37"/>
      <c r="B55" s="38" t="s">
        <v>183</v>
      </c>
    </row>
    <row r="56" spans="1:7" s="38" customFormat="1" x14ac:dyDescent="0.25">
      <c r="A56" s="37"/>
      <c r="B56" s="38" t="s">
        <v>181</v>
      </c>
    </row>
    <row r="58" spans="1:7" x14ac:dyDescent="0.25">
      <c r="A58" s="37">
        <v>11</v>
      </c>
      <c r="B58" s="42" t="s">
        <v>193</v>
      </c>
    </row>
    <row r="59" spans="1:7" x14ac:dyDescent="0.25">
      <c r="A59" s="1"/>
      <c r="B59" s="42"/>
    </row>
    <row r="60" spans="1:7" x14ac:dyDescent="0.25">
      <c r="A60" s="1"/>
      <c r="B60" s="42" t="s">
        <v>186</v>
      </c>
    </row>
    <row r="61" spans="1:7" x14ac:dyDescent="0.25">
      <c r="A61" s="1"/>
      <c r="B61" s="42" t="s">
        <v>187</v>
      </c>
    </row>
    <row r="62" spans="1:7" x14ac:dyDescent="0.25">
      <c r="A62" s="1"/>
      <c r="B62" s="42" t="s">
        <v>188</v>
      </c>
    </row>
    <row r="63" spans="1:7" x14ac:dyDescent="0.25">
      <c r="A63" s="1"/>
      <c r="B63" s="42" t="s">
        <v>189</v>
      </c>
    </row>
    <row r="64" spans="1:7" s="5" customFormat="1" x14ac:dyDescent="0.25">
      <c r="A64" s="26"/>
      <c r="B64" s="43" t="s">
        <v>191</v>
      </c>
    </row>
    <row r="65" spans="1:9" x14ac:dyDescent="0.25">
      <c r="A65" s="1"/>
      <c r="B65" s="42" t="s">
        <v>190</v>
      </c>
    </row>
    <row r="66" spans="1:9" s="35" customFormat="1" x14ac:dyDescent="0.25">
      <c r="A66" s="34"/>
      <c r="F66" s="44"/>
    </row>
    <row r="67" spans="1:9" s="38" customFormat="1" x14ac:dyDescent="0.25">
      <c r="A67" s="37"/>
      <c r="B67" s="38" t="s">
        <v>7</v>
      </c>
      <c r="C67" s="38">
        <f>200000/1.25</f>
        <v>160000</v>
      </c>
      <c r="D67" s="45"/>
      <c r="E67" s="38">
        <f>D70*C67</f>
        <v>64000</v>
      </c>
      <c r="F67" s="45"/>
    </row>
    <row r="68" spans="1:9" s="38" customFormat="1" x14ac:dyDescent="0.25">
      <c r="A68" s="37"/>
      <c r="B68" s="38" t="s">
        <v>8</v>
      </c>
      <c r="C68" s="38">
        <f>B76</f>
        <v>-96000</v>
      </c>
      <c r="D68" s="45"/>
      <c r="E68" s="38">
        <f>C67-E67</f>
        <v>96000</v>
      </c>
      <c r="F68" s="45"/>
    </row>
    <row r="69" spans="1:9" s="38" customFormat="1" x14ac:dyDescent="0.25">
      <c r="A69" s="37"/>
      <c r="I69" s="46"/>
    </row>
    <row r="70" spans="1:9" s="38" customFormat="1" x14ac:dyDescent="0.25">
      <c r="A70" s="37"/>
      <c r="B70" s="126" t="s">
        <v>11</v>
      </c>
      <c r="C70" s="47" t="s">
        <v>9</v>
      </c>
      <c r="D70" s="127">
        <f>(C67+C68)/C67</f>
        <v>0.4</v>
      </c>
    </row>
    <row r="71" spans="1:9" s="38" customFormat="1" x14ac:dyDescent="0.25">
      <c r="A71" s="37"/>
      <c r="B71" s="126"/>
      <c r="C71" s="48" t="s">
        <v>10</v>
      </c>
      <c r="D71" s="127"/>
    </row>
    <row r="72" spans="1:9" s="38" customFormat="1" x14ac:dyDescent="0.25">
      <c r="A72" s="37"/>
    </row>
    <row r="73" spans="1:9" s="38" customFormat="1" x14ac:dyDescent="0.25">
      <c r="A73" s="37"/>
      <c r="B73" s="49">
        <v>0.4</v>
      </c>
      <c r="C73" s="47" t="s">
        <v>194</v>
      </c>
    </row>
    <row r="74" spans="1:9" s="38" customFormat="1" x14ac:dyDescent="0.25">
      <c r="A74" s="37"/>
      <c r="C74" s="48" t="s">
        <v>195</v>
      </c>
    </row>
    <row r="75" spans="1:9" s="38" customFormat="1" x14ac:dyDescent="0.25">
      <c r="A75" s="37"/>
      <c r="B75" s="38">
        <f>0.4*160000</f>
        <v>64000</v>
      </c>
      <c r="C75" s="50" t="s">
        <v>196</v>
      </c>
      <c r="D75" s="38">
        <f>C67*1.25</f>
        <v>200000</v>
      </c>
      <c r="E75" s="38">
        <f>D75*0.2</f>
        <v>40000</v>
      </c>
      <c r="F75" s="45"/>
    </row>
    <row r="76" spans="1:9" s="38" customFormat="1" x14ac:dyDescent="0.25">
      <c r="A76" s="37"/>
      <c r="B76" s="38">
        <f>64000-160000</f>
        <v>-96000</v>
      </c>
      <c r="C76" s="50" t="s">
        <v>12</v>
      </c>
    </row>
    <row r="77" spans="1:9" s="38" customFormat="1" ht="15.6" thickBot="1" x14ac:dyDescent="0.3">
      <c r="A77" s="37"/>
    </row>
    <row r="78" spans="1:9" s="38" customFormat="1" ht="15.6" thickBot="1" x14ac:dyDescent="0.3">
      <c r="A78" s="37"/>
      <c r="B78" s="123" t="s">
        <v>0</v>
      </c>
      <c r="C78" s="124"/>
      <c r="D78" s="123" t="s">
        <v>1</v>
      </c>
      <c r="E78" s="125"/>
      <c r="F78" s="124"/>
    </row>
    <row r="79" spans="1:9" s="38" customFormat="1" ht="15.6" thickBot="1" x14ac:dyDescent="0.3">
      <c r="A79" s="37"/>
      <c r="B79" s="51" t="s">
        <v>2</v>
      </c>
      <c r="C79" s="52" t="s">
        <v>3</v>
      </c>
      <c r="D79" s="51" t="s">
        <v>4</v>
      </c>
      <c r="E79" s="53" t="s">
        <v>5</v>
      </c>
      <c r="F79" s="54" t="s">
        <v>6</v>
      </c>
    </row>
    <row r="80" spans="1:9" s="38" customFormat="1" x14ac:dyDescent="0.25">
      <c r="A80" s="37"/>
      <c r="B80" s="55"/>
      <c r="C80" s="56">
        <v>200000</v>
      </c>
      <c r="D80" s="57">
        <v>160000</v>
      </c>
      <c r="E80" s="56"/>
      <c r="F80" s="58">
        <v>40000</v>
      </c>
    </row>
    <row r="81" spans="1:6" s="38" customFormat="1" ht="15.6" thickBot="1" x14ac:dyDescent="0.3">
      <c r="A81" s="37"/>
      <c r="B81" s="59"/>
      <c r="C81" s="60">
        <v>-96000</v>
      </c>
      <c r="D81" s="61">
        <v>-96000</v>
      </c>
      <c r="E81" s="60"/>
      <c r="F81" s="60"/>
    </row>
    <row r="83" spans="1:6" x14ac:dyDescent="0.25">
      <c r="A83" s="28">
        <v>12</v>
      </c>
      <c r="B83" s="1" t="s">
        <v>126</v>
      </c>
    </row>
    <row r="84" spans="1:6" x14ac:dyDescent="0.25">
      <c r="B84" s="5" t="s">
        <v>13</v>
      </c>
      <c r="C84" s="5">
        <f>(1000000-(1000000*0.2))*0.2</f>
        <v>160000</v>
      </c>
    </row>
    <row r="86" spans="1:6" x14ac:dyDescent="0.25">
      <c r="A86" s="28">
        <v>13</v>
      </c>
      <c r="B86" s="1" t="s">
        <v>127</v>
      </c>
    </row>
    <row r="87" spans="1:6" x14ac:dyDescent="0.25">
      <c r="B87" s="1" t="s">
        <v>128</v>
      </c>
    </row>
    <row r="88" spans="1:6" hidden="1" x14ac:dyDescent="0.25">
      <c r="B88" s="2" t="s">
        <v>31</v>
      </c>
    </row>
    <row r="89" spans="1:6" hidden="1" x14ac:dyDescent="0.25">
      <c r="B89" s="1" t="s">
        <v>34</v>
      </c>
      <c r="C89" s="1">
        <v>50000000</v>
      </c>
    </row>
    <row r="90" spans="1:6" hidden="1" x14ac:dyDescent="0.25">
      <c r="B90" s="1" t="s">
        <v>35</v>
      </c>
      <c r="C90" s="1">
        <v>42000000</v>
      </c>
    </row>
    <row r="91" spans="1:6" hidden="1" x14ac:dyDescent="0.25">
      <c r="B91" s="4" t="s">
        <v>36</v>
      </c>
      <c r="C91" s="4">
        <f>C89-C90</f>
        <v>8000000</v>
      </c>
    </row>
    <row r="92" spans="1:6" hidden="1" x14ac:dyDescent="0.25">
      <c r="B92" s="1" t="s">
        <v>37</v>
      </c>
      <c r="C92" s="1">
        <v>50000</v>
      </c>
    </row>
    <row r="93" spans="1:6" hidden="1" x14ac:dyDescent="0.25">
      <c r="B93" s="1" t="s">
        <v>38</v>
      </c>
      <c r="C93" s="1">
        <v>2000000</v>
      </c>
    </row>
    <row r="94" spans="1:6" hidden="1" x14ac:dyDescent="0.25">
      <c r="B94" s="4" t="s">
        <v>39</v>
      </c>
      <c r="C94" s="4">
        <v>6050000</v>
      </c>
    </row>
    <row r="95" spans="1:6" hidden="1" x14ac:dyDescent="0.25">
      <c r="B95" s="1" t="s">
        <v>40</v>
      </c>
      <c r="C95" s="1">
        <v>1512500</v>
      </c>
    </row>
    <row r="96" spans="1:6" ht="15.6" hidden="1" thickBot="1" x14ac:dyDescent="0.3">
      <c r="B96" s="3" t="s">
        <v>41</v>
      </c>
      <c r="C96" s="3">
        <v>4537500</v>
      </c>
    </row>
    <row r="97" spans="2:4" ht="15.6" hidden="1" thickTop="1" x14ac:dyDescent="0.25"/>
    <row r="98" spans="2:4" hidden="1" x14ac:dyDescent="0.25"/>
    <row r="99" spans="2:4" hidden="1" x14ac:dyDescent="0.25">
      <c r="B99" s="7" t="s">
        <v>83</v>
      </c>
      <c r="C99" s="29">
        <v>2017</v>
      </c>
      <c r="D99" s="29">
        <v>2016</v>
      </c>
    </row>
    <row r="100" spans="2:4" hidden="1" x14ac:dyDescent="0.25">
      <c r="B100" s="1" t="s">
        <v>42</v>
      </c>
      <c r="C100" s="1">
        <v>75000000</v>
      </c>
      <c r="D100" s="1">
        <v>70000000</v>
      </c>
    </row>
    <row r="101" spans="2:4" hidden="1" x14ac:dyDescent="0.25">
      <c r="B101" s="1" t="s">
        <v>43</v>
      </c>
      <c r="C101" s="1">
        <v>32000000</v>
      </c>
      <c r="D101" s="1">
        <v>30000000</v>
      </c>
    </row>
    <row r="102" spans="2:4" hidden="1" x14ac:dyDescent="0.25">
      <c r="B102" s="7" t="s">
        <v>44</v>
      </c>
      <c r="C102" s="7">
        <v>107000000</v>
      </c>
      <c r="D102" s="7">
        <v>100000000</v>
      </c>
    </row>
    <row r="103" spans="2:4" hidden="1" x14ac:dyDescent="0.25">
      <c r="B103" s="1" t="s">
        <v>45</v>
      </c>
      <c r="C103" s="1">
        <v>32500000</v>
      </c>
      <c r="D103" s="1">
        <v>27962500</v>
      </c>
    </row>
    <row r="104" spans="2:4" hidden="1" x14ac:dyDescent="0.25">
      <c r="B104" s="1" t="s">
        <v>46</v>
      </c>
      <c r="C104" s="1">
        <v>55000000</v>
      </c>
      <c r="D104" s="1">
        <v>53000000</v>
      </c>
    </row>
    <row r="105" spans="2:4" hidden="1" x14ac:dyDescent="0.25">
      <c r="B105" s="1" t="s">
        <v>47</v>
      </c>
      <c r="C105" s="1">
        <v>19500000</v>
      </c>
      <c r="D105" s="1">
        <v>19037500</v>
      </c>
    </row>
    <row r="106" spans="2:4" hidden="1" x14ac:dyDescent="0.25">
      <c r="B106" s="7" t="s">
        <v>48</v>
      </c>
      <c r="C106" s="7">
        <v>107000000</v>
      </c>
      <c r="D106" s="7">
        <v>100000000</v>
      </c>
    </row>
    <row r="107" spans="2:4" hidden="1" x14ac:dyDescent="0.25">
      <c r="B107" s="8" t="s">
        <v>32</v>
      </c>
    </row>
    <row r="108" spans="2:4" hidden="1" x14ac:dyDescent="0.25">
      <c r="B108" s="1" t="s">
        <v>49</v>
      </c>
      <c r="C108" s="1">
        <v>6500000</v>
      </c>
      <c r="D108" s="1">
        <v>5000000</v>
      </c>
    </row>
    <row r="109" spans="2:4" hidden="1" x14ac:dyDescent="0.25">
      <c r="B109" s="1" t="s">
        <v>50</v>
      </c>
      <c r="C109" s="1">
        <v>5000000</v>
      </c>
      <c r="D109" s="1">
        <v>4800000</v>
      </c>
    </row>
    <row r="110" spans="2:4" hidden="1" x14ac:dyDescent="0.25">
      <c r="B110" s="1" t="s">
        <v>51</v>
      </c>
      <c r="C110" s="1">
        <v>5600000</v>
      </c>
      <c r="D110" s="1">
        <v>5350000</v>
      </c>
    </row>
    <row r="111" spans="2:4" hidden="1" x14ac:dyDescent="0.25">
      <c r="B111" s="1" t="s">
        <v>52</v>
      </c>
      <c r="C111" s="1">
        <v>37500000</v>
      </c>
    </row>
    <row r="112" spans="2:4" hidden="1" x14ac:dyDescent="0.25"/>
    <row r="113" spans="1:5" hidden="1" x14ac:dyDescent="0.25"/>
    <row r="114" spans="1:5" hidden="1" x14ac:dyDescent="0.25">
      <c r="B114" s="1" t="s">
        <v>33</v>
      </c>
    </row>
    <row r="115" spans="1:5" hidden="1" x14ac:dyDescent="0.25">
      <c r="A115" s="28">
        <v>32</v>
      </c>
      <c r="B115" s="27" t="s">
        <v>60</v>
      </c>
      <c r="E115" s="31">
        <f>C91/C89</f>
        <v>0.16</v>
      </c>
    </row>
    <row r="116" spans="1:5" hidden="1" x14ac:dyDescent="0.25">
      <c r="B116" s="27"/>
    </row>
    <row r="117" spans="1:5" hidden="1" x14ac:dyDescent="0.25">
      <c r="A117" s="28">
        <v>33</v>
      </c>
      <c r="B117" s="27" t="s">
        <v>61</v>
      </c>
      <c r="E117" s="31">
        <f>C103/C106</f>
        <v>0.30373831775700932</v>
      </c>
    </row>
    <row r="118" spans="1:5" hidden="1" x14ac:dyDescent="0.25">
      <c r="B118" s="27"/>
    </row>
    <row r="119" spans="1:5" hidden="1" x14ac:dyDescent="0.25">
      <c r="A119" s="28">
        <v>34</v>
      </c>
      <c r="B119" s="27" t="s">
        <v>53</v>
      </c>
      <c r="E119" s="24">
        <f>C101/C105</f>
        <v>1.641025641025641</v>
      </c>
    </row>
    <row r="120" spans="1:5" hidden="1" x14ac:dyDescent="0.25">
      <c r="B120" s="27"/>
    </row>
    <row r="121" spans="1:5" hidden="1" x14ac:dyDescent="0.25">
      <c r="A121" s="32">
        <v>35</v>
      </c>
      <c r="B121" s="27" t="s">
        <v>68</v>
      </c>
      <c r="E121" s="24">
        <f>(C101-C108)/C105</f>
        <v>1.3076923076923077</v>
      </c>
    </row>
    <row r="122" spans="1:5" hidden="1" x14ac:dyDescent="0.25">
      <c r="B122" s="27"/>
    </row>
    <row r="123" spans="1:5" hidden="1" x14ac:dyDescent="0.25">
      <c r="A123" s="32">
        <v>36</v>
      </c>
      <c r="B123" s="1" t="s">
        <v>62</v>
      </c>
      <c r="E123" s="1">
        <f>C101-C105</f>
        <v>12500000</v>
      </c>
    </row>
    <row r="124" spans="1:5" hidden="1" x14ac:dyDescent="0.25"/>
    <row r="125" spans="1:5" hidden="1" x14ac:dyDescent="0.25">
      <c r="A125" s="28">
        <v>37</v>
      </c>
      <c r="B125" s="27" t="s">
        <v>54</v>
      </c>
      <c r="E125" s="31">
        <f>(C94+C93)/((C106+D106)/2)</f>
        <v>7.7777777777777779E-2</v>
      </c>
    </row>
    <row r="126" spans="1:5" hidden="1" x14ac:dyDescent="0.25">
      <c r="B126" s="27"/>
    </row>
    <row r="127" spans="1:5" hidden="1" x14ac:dyDescent="0.25">
      <c r="A127" s="28">
        <v>38</v>
      </c>
      <c r="B127" s="1" t="s">
        <v>84</v>
      </c>
      <c r="E127" s="31">
        <f>(C94+C93)/C89</f>
        <v>0.161</v>
      </c>
    </row>
    <row r="128" spans="1:5" hidden="1" x14ac:dyDescent="0.25">
      <c r="B128" s="27"/>
    </row>
    <row r="129" spans="1:7" hidden="1" x14ac:dyDescent="0.25">
      <c r="A129" s="28">
        <v>39</v>
      </c>
      <c r="B129" s="1" t="s">
        <v>85</v>
      </c>
      <c r="E129" s="24">
        <f>C89/((C106+D106)/2)</f>
        <v>0.48309178743961351</v>
      </c>
      <c r="F129" s="31"/>
      <c r="G129" s="31"/>
    </row>
    <row r="130" spans="1:7" hidden="1" x14ac:dyDescent="0.25">
      <c r="B130" s="27"/>
    </row>
    <row r="131" spans="1:7" hidden="1" x14ac:dyDescent="0.25">
      <c r="A131" s="28">
        <v>40</v>
      </c>
      <c r="B131" s="1" t="s">
        <v>88</v>
      </c>
      <c r="E131" s="31">
        <f>E127*E129</f>
        <v>7.7777777777777779E-2</v>
      </c>
    </row>
    <row r="132" spans="1:7" hidden="1" x14ac:dyDescent="0.25">
      <c r="E132" s="31"/>
    </row>
    <row r="133" spans="1:7" hidden="1" x14ac:dyDescent="0.25">
      <c r="A133" s="28">
        <v>41</v>
      </c>
      <c r="B133" s="27" t="s">
        <v>63</v>
      </c>
      <c r="E133" s="31">
        <f>C94/((C103+D103)/2)</f>
        <v>0.20012404382881951</v>
      </c>
    </row>
    <row r="134" spans="1:7" hidden="1" x14ac:dyDescent="0.25">
      <c r="B134" s="27"/>
    </row>
    <row r="135" spans="1:7" hidden="1" x14ac:dyDescent="0.25">
      <c r="A135" s="28">
        <v>42</v>
      </c>
      <c r="B135" s="27" t="s">
        <v>87</v>
      </c>
      <c r="E135" s="31">
        <f>C93/((C104+C105+D104+D105)/2)</f>
        <v>2.7296767039153801E-2</v>
      </c>
    </row>
    <row r="136" spans="1:7" hidden="1" x14ac:dyDescent="0.25">
      <c r="A136" s="28">
        <v>43</v>
      </c>
      <c r="B136" s="27" t="s">
        <v>86</v>
      </c>
      <c r="E136" s="24">
        <f>((C104+C105+D104+D105)/2)/((C103+D103)/2)</f>
        <v>2.423609675418648</v>
      </c>
    </row>
    <row r="137" spans="1:7" hidden="1" x14ac:dyDescent="0.25">
      <c r="A137" s="28">
        <v>44</v>
      </c>
      <c r="B137" s="27" t="s">
        <v>89</v>
      </c>
      <c r="E137" s="31">
        <f>E125+(E125-E135)*E136</f>
        <v>0.20012404382881951</v>
      </c>
    </row>
    <row r="138" spans="1:7" hidden="1" x14ac:dyDescent="0.25">
      <c r="B138" s="27"/>
    </row>
    <row r="139" spans="1:7" hidden="1" x14ac:dyDescent="0.25">
      <c r="B139" s="27"/>
    </row>
    <row r="140" spans="1:7" hidden="1" x14ac:dyDescent="0.25">
      <c r="A140" s="28">
        <v>45</v>
      </c>
      <c r="B140" s="27" t="s">
        <v>55</v>
      </c>
      <c r="C140" s="1">
        <f>C111+C108-D108</f>
        <v>39000000</v>
      </c>
      <c r="D140" s="1">
        <f>C140*1.25</f>
        <v>48750000</v>
      </c>
      <c r="E140" s="5">
        <f>D110+D140-C110</f>
        <v>48500000</v>
      </c>
    </row>
    <row r="141" spans="1:7" hidden="1" x14ac:dyDescent="0.25">
      <c r="B141" s="27"/>
      <c r="E141" s="26"/>
    </row>
    <row r="142" spans="1:7" hidden="1" x14ac:dyDescent="0.25">
      <c r="A142" s="28">
        <v>46</v>
      </c>
      <c r="B142" s="27" t="s">
        <v>56</v>
      </c>
      <c r="E142" s="5">
        <f>C89*1.25+D109-C109</f>
        <v>62300000</v>
      </c>
    </row>
    <row r="143" spans="1:7" hidden="1" x14ac:dyDescent="0.25">
      <c r="B143" s="27"/>
      <c r="E143" s="26"/>
    </row>
    <row r="144" spans="1:7" hidden="1" x14ac:dyDescent="0.25">
      <c r="A144" s="28">
        <v>47</v>
      </c>
      <c r="B144" s="27" t="s">
        <v>57</v>
      </c>
      <c r="D144" s="1">
        <f>(C108+D108)/2</f>
        <v>5750000</v>
      </c>
      <c r="E144" s="6">
        <f>D144/C111*360</f>
        <v>55.199999999999996</v>
      </c>
    </row>
    <row r="145" spans="1:9" hidden="1" x14ac:dyDescent="0.25">
      <c r="B145" s="27"/>
      <c r="E145" s="30"/>
    </row>
    <row r="146" spans="1:9" hidden="1" x14ac:dyDescent="0.25">
      <c r="A146" s="28">
        <v>48</v>
      </c>
      <c r="B146" s="27" t="s">
        <v>58</v>
      </c>
      <c r="D146" s="1">
        <f>(C109+D109)/2</f>
        <v>4900000</v>
      </c>
      <c r="E146" s="5">
        <f>(D146/(C89*1.25))*360</f>
        <v>28.224</v>
      </c>
    </row>
    <row r="147" spans="1:9" hidden="1" x14ac:dyDescent="0.25">
      <c r="B147" s="27"/>
      <c r="E147" s="26"/>
    </row>
    <row r="148" spans="1:9" hidden="1" x14ac:dyDescent="0.25">
      <c r="A148" s="28">
        <v>49</v>
      </c>
      <c r="B148" s="27" t="s">
        <v>66</v>
      </c>
      <c r="E148" s="5">
        <f>C103-D103-C96</f>
        <v>0</v>
      </c>
    </row>
    <row r="149" spans="1:9" hidden="1" x14ac:dyDescent="0.25">
      <c r="B149" s="27"/>
      <c r="E149" s="26"/>
    </row>
    <row r="150" spans="1:9" hidden="1" x14ac:dyDescent="0.25">
      <c r="A150" s="28">
        <v>50</v>
      </c>
      <c r="B150" s="27" t="s">
        <v>59</v>
      </c>
    </row>
    <row r="151" spans="1:9" hidden="1" x14ac:dyDescent="0.25">
      <c r="B151" s="5">
        <v>108000000</v>
      </c>
      <c r="F151" s="26"/>
    </row>
    <row r="152" spans="1:9" hidden="1" x14ac:dyDescent="0.25">
      <c r="B152" s="2"/>
    </row>
    <row r="153" spans="1:9" hidden="1" x14ac:dyDescent="0.25">
      <c r="B153" s="1" t="s">
        <v>14</v>
      </c>
    </row>
    <row r="154" spans="1:9" hidden="1" x14ac:dyDescent="0.25">
      <c r="B154" s="1" t="s">
        <v>15</v>
      </c>
      <c r="E154" s="9">
        <v>0.12</v>
      </c>
    </row>
    <row r="155" spans="1:9" hidden="1" x14ac:dyDescent="0.25">
      <c r="B155" s="1" t="s">
        <v>16</v>
      </c>
      <c r="E155" s="9">
        <v>0.25</v>
      </c>
    </row>
    <row r="156" spans="1:9" hidden="1" x14ac:dyDescent="0.25">
      <c r="B156" s="1" t="s">
        <v>17</v>
      </c>
      <c r="E156" s="9">
        <v>0.1</v>
      </c>
    </row>
    <row r="157" spans="1:9" hidden="1" x14ac:dyDescent="0.25">
      <c r="B157" s="1" t="s">
        <v>18</v>
      </c>
      <c r="E157" s="1">
        <v>1.6</v>
      </c>
    </row>
    <row r="158" spans="1:9" hidden="1" x14ac:dyDescent="0.25">
      <c r="B158" s="1" t="s">
        <v>19</v>
      </c>
      <c r="E158" s="9">
        <v>0.25</v>
      </c>
      <c r="G158" s="1" t="s">
        <v>22</v>
      </c>
      <c r="H158" s="1" t="s">
        <v>23</v>
      </c>
      <c r="I158" s="1" t="s">
        <v>24</v>
      </c>
    </row>
    <row r="159" spans="1:9" hidden="1" x14ac:dyDescent="0.25">
      <c r="B159" s="1" t="s">
        <v>20</v>
      </c>
      <c r="G159" s="1">
        <v>6000000</v>
      </c>
      <c r="H159" s="1">
        <v>5500000</v>
      </c>
      <c r="I159" s="1">
        <f>(G159+H159)/2</f>
        <v>5750000</v>
      </c>
    </row>
    <row r="160" spans="1:9" hidden="1" x14ac:dyDescent="0.25">
      <c r="B160" s="1" t="s">
        <v>21</v>
      </c>
      <c r="G160" s="1">
        <v>4500000</v>
      </c>
      <c r="H160" s="1">
        <v>3500000</v>
      </c>
      <c r="I160" s="1">
        <f>(G160+H160)/2</f>
        <v>4000000</v>
      </c>
    </row>
    <row r="161" spans="1:12" hidden="1" x14ac:dyDescent="0.25">
      <c r="G161" s="22">
        <f>SUM(G159:G160)</f>
        <v>10500000</v>
      </c>
      <c r="H161" s="22">
        <f>SUM(H159:H160)</f>
        <v>9000000</v>
      </c>
      <c r="I161" s="22">
        <f>SUM(I159:I160)</f>
        <v>9750000</v>
      </c>
    </row>
    <row r="162" spans="1:12" hidden="1" x14ac:dyDescent="0.25"/>
    <row r="163" spans="1:12" hidden="1" x14ac:dyDescent="0.25">
      <c r="A163" s="32">
        <v>51</v>
      </c>
      <c r="B163" s="1" t="s">
        <v>67</v>
      </c>
    </row>
    <row r="164" spans="1:12" hidden="1" x14ac:dyDescent="0.25">
      <c r="B164" s="5" t="s">
        <v>13</v>
      </c>
      <c r="C164" s="5"/>
      <c r="D164" s="5"/>
      <c r="E164" s="5">
        <f>G159+G160</f>
        <v>10500000</v>
      </c>
    </row>
    <row r="165" spans="1:12" hidden="1" x14ac:dyDescent="0.25"/>
    <row r="166" spans="1:12" hidden="1" x14ac:dyDescent="0.25">
      <c r="A166" s="28">
        <v>52</v>
      </c>
      <c r="B166" s="1" t="s">
        <v>64</v>
      </c>
      <c r="E166" s="17" t="s">
        <v>25</v>
      </c>
    </row>
    <row r="167" spans="1:12" hidden="1" x14ac:dyDescent="0.25">
      <c r="B167" s="5" t="s">
        <v>13</v>
      </c>
      <c r="C167" s="5"/>
      <c r="D167" s="5"/>
      <c r="E167" s="5">
        <f>E155*G161</f>
        <v>2625000</v>
      </c>
    </row>
    <row r="168" spans="1:12" hidden="1" x14ac:dyDescent="0.25"/>
    <row r="169" spans="1:12" hidden="1" x14ac:dyDescent="0.25">
      <c r="A169" s="28">
        <v>53</v>
      </c>
      <c r="B169" s="1" t="s">
        <v>65</v>
      </c>
    </row>
    <row r="170" spans="1:12" hidden="1" x14ac:dyDescent="0.25">
      <c r="H170" s="14"/>
      <c r="I170" s="128"/>
      <c r="J170" s="23"/>
      <c r="K170" s="14"/>
      <c r="L170" s="14"/>
    </row>
    <row r="171" spans="1:12" hidden="1" x14ac:dyDescent="0.25">
      <c r="B171" s="17" t="s">
        <v>27</v>
      </c>
      <c r="H171" s="14"/>
      <c r="I171" s="128"/>
      <c r="J171" s="14"/>
      <c r="K171" s="14"/>
      <c r="L171" s="14"/>
    </row>
    <row r="172" spans="1:12" hidden="1" x14ac:dyDescent="0.25">
      <c r="B172" s="1" t="s">
        <v>28</v>
      </c>
      <c r="C172" s="24">
        <f>E154/E156</f>
        <v>1.2</v>
      </c>
      <c r="H172" s="14"/>
      <c r="I172" s="14"/>
      <c r="J172" s="14"/>
      <c r="K172" s="14"/>
      <c r="L172" s="14"/>
    </row>
    <row r="173" spans="1:12" hidden="1" x14ac:dyDescent="0.25"/>
    <row r="174" spans="1:12" hidden="1" x14ac:dyDescent="0.25">
      <c r="B174" s="1" t="s">
        <v>28</v>
      </c>
      <c r="C174" s="19" t="s">
        <v>29</v>
      </c>
    </row>
    <row r="175" spans="1:12" hidden="1" x14ac:dyDescent="0.25">
      <c r="C175" s="20" t="s">
        <v>30</v>
      </c>
    </row>
    <row r="176" spans="1:12" hidden="1" x14ac:dyDescent="0.25"/>
    <row r="177" spans="1:3" hidden="1" x14ac:dyDescent="0.25">
      <c r="B177" s="25" t="s">
        <v>26</v>
      </c>
      <c r="C177" s="5">
        <f>C172*I161</f>
        <v>11700000</v>
      </c>
    </row>
    <row r="178" spans="1:3" x14ac:dyDescent="0.25">
      <c r="B178" s="5" t="s">
        <v>129</v>
      </c>
    </row>
    <row r="179" spans="1:3" x14ac:dyDescent="0.25">
      <c r="B179" s="26" t="s">
        <v>197</v>
      </c>
    </row>
    <row r="180" spans="1:3" x14ac:dyDescent="0.25">
      <c r="B180" s="26" t="s">
        <v>198</v>
      </c>
    </row>
    <row r="181" spans="1:3" x14ac:dyDescent="0.25">
      <c r="B181" s="26"/>
    </row>
    <row r="182" spans="1:3" x14ac:dyDescent="0.25">
      <c r="A182" s="1"/>
      <c r="B182" s="1" t="s">
        <v>199</v>
      </c>
    </row>
    <row r="184" spans="1:3" x14ac:dyDescent="0.25">
      <c r="A184" s="28">
        <v>14</v>
      </c>
      <c r="B184" s="1" t="s">
        <v>200</v>
      </c>
    </row>
    <row r="185" spans="1:3" x14ac:dyDescent="0.25">
      <c r="B185" s="5" t="s">
        <v>13</v>
      </c>
      <c r="C185" s="5">
        <f>11000*150</f>
        <v>1650000</v>
      </c>
    </row>
    <row r="186" spans="1:3" x14ac:dyDescent="0.25">
      <c r="B186" s="1" t="s">
        <v>73</v>
      </c>
    </row>
    <row r="187" spans="1:3" x14ac:dyDescent="0.25">
      <c r="A187" s="28">
        <v>15</v>
      </c>
      <c r="B187" s="1" t="s">
        <v>201</v>
      </c>
    </row>
    <row r="188" spans="1:3" x14ac:dyDescent="0.25">
      <c r="B188" s="5" t="s">
        <v>13</v>
      </c>
      <c r="C188" s="5">
        <f>10000*100</f>
        <v>1000000</v>
      </c>
    </row>
    <row r="189" spans="1:3" x14ac:dyDescent="0.25">
      <c r="B189" s="2"/>
    </row>
    <row r="190" spans="1:3" ht="15.6" x14ac:dyDescent="0.25">
      <c r="A190" s="40"/>
    </row>
    <row r="191" spans="1:3" x14ac:dyDescent="0.25">
      <c r="A191" s="41"/>
    </row>
  </sheetData>
  <mergeCells count="7">
    <mergeCell ref="I170:I171"/>
    <mergeCell ref="B39:C39"/>
    <mergeCell ref="D39:F39"/>
    <mergeCell ref="B78:C78"/>
    <mergeCell ref="D78:F78"/>
    <mergeCell ref="B70:B71"/>
    <mergeCell ref="D70:D71"/>
  </mergeCells>
  <phoneticPr fontId="5" type="noConversion"/>
  <pageMargins left="0.25" right="0.25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3A78F-5E8E-4EB1-AB0A-2B3A4B777B63}">
  <sheetPr>
    <pageSetUpPr fitToPage="1"/>
  </sheetPr>
  <dimension ref="A1:I129"/>
  <sheetViews>
    <sheetView topLeftCell="A57" zoomScale="85" zoomScaleNormal="85" workbookViewId="0">
      <selection activeCell="C60" sqref="C60"/>
    </sheetView>
  </sheetViews>
  <sheetFormatPr defaultColWidth="11.44140625" defaultRowHeight="22.2" customHeight="1" x14ac:dyDescent="0.25"/>
  <cols>
    <col min="1" max="1" width="5.109375" style="64" customWidth="1"/>
    <col min="2" max="2" width="61.44140625" style="64" customWidth="1"/>
    <col min="3" max="5" width="15.109375" style="63" customWidth="1"/>
    <col min="6" max="6" width="11.44140625" style="64"/>
    <col min="7" max="7" width="15.77734375" style="64" customWidth="1"/>
    <col min="8" max="16384" width="11.44140625" style="64"/>
  </cols>
  <sheetData>
    <row r="1" spans="2:5" ht="22.2" customHeight="1" x14ac:dyDescent="0.3">
      <c r="B1" s="62" t="s">
        <v>228</v>
      </c>
    </row>
    <row r="2" spans="2:5" ht="22.2" customHeight="1" thickBot="1" x14ac:dyDescent="0.3">
      <c r="B2" s="65" t="s">
        <v>227</v>
      </c>
    </row>
    <row r="3" spans="2:5" ht="22.2" customHeight="1" thickBot="1" x14ac:dyDescent="0.3">
      <c r="B3" s="66"/>
      <c r="C3" s="67">
        <v>2018</v>
      </c>
      <c r="D3" s="68">
        <v>2017</v>
      </c>
      <c r="E3" s="69">
        <v>2016</v>
      </c>
    </row>
    <row r="4" spans="2:5" ht="22.2" customHeight="1" x14ac:dyDescent="0.25">
      <c r="B4" s="70" t="s">
        <v>90</v>
      </c>
      <c r="C4" s="71">
        <v>10536796</v>
      </c>
      <c r="D4" s="71">
        <v>10595006</v>
      </c>
      <c r="E4" s="71">
        <v>9032994</v>
      </c>
    </row>
    <row r="5" spans="2:5" ht="22.2" customHeight="1" x14ac:dyDescent="0.25">
      <c r="B5" s="70" t="s">
        <v>130</v>
      </c>
      <c r="C5" s="71">
        <v>8234868</v>
      </c>
      <c r="D5" s="71">
        <v>8114523</v>
      </c>
      <c r="E5" s="71">
        <v>7032863</v>
      </c>
    </row>
    <row r="6" spans="2:5" ht="22.2" customHeight="1" x14ac:dyDescent="0.25">
      <c r="B6" s="70" t="s">
        <v>131</v>
      </c>
      <c r="C6" s="71">
        <v>921127</v>
      </c>
      <c r="D6" s="71">
        <v>858615</v>
      </c>
      <c r="E6" s="71">
        <v>705149</v>
      </c>
    </row>
    <row r="7" spans="2:5" ht="22.2" customHeight="1" x14ac:dyDescent="0.25">
      <c r="B7" s="70" t="s">
        <v>98</v>
      </c>
      <c r="C7" s="71">
        <v>144068</v>
      </c>
      <c r="D7" s="71">
        <v>125553</v>
      </c>
      <c r="E7" s="71">
        <v>104610</v>
      </c>
    </row>
    <row r="8" spans="2:5" ht="22.2" customHeight="1" x14ac:dyDescent="0.25">
      <c r="B8" s="70" t="s">
        <v>100</v>
      </c>
      <c r="C8" s="71">
        <v>1155375</v>
      </c>
      <c r="D8" s="71">
        <v>1008741</v>
      </c>
      <c r="E8" s="71">
        <v>873797</v>
      </c>
    </row>
    <row r="9" spans="2:5" ht="22.2" customHeight="1" x14ac:dyDescent="0.25">
      <c r="B9" s="70" t="s">
        <v>132</v>
      </c>
      <c r="C9" s="71">
        <f>C5+C6+C8+C7</f>
        <v>10455438</v>
      </c>
      <c r="D9" s="71">
        <f>D5+D6+D8+D7</f>
        <v>10107432</v>
      </c>
      <c r="E9" s="71">
        <f>E5+E6+E8+E7</f>
        <v>8716419</v>
      </c>
    </row>
    <row r="10" spans="2:5" ht="22.2" customHeight="1" thickBot="1" x14ac:dyDescent="0.3">
      <c r="B10" s="72" t="s">
        <v>91</v>
      </c>
      <c r="C10" s="73">
        <f>C4-C9</f>
        <v>81358</v>
      </c>
      <c r="D10" s="73">
        <f t="shared" ref="D10:E10" si="0">D4-D9</f>
        <v>487574</v>
      </c>
      <c r="E10" s="73">
        <f t="shared" si="0"/>
        <v>316575</v>
      </c>
    </row>
    <row r="11" spans="2:5" ht="22.2" customHeight="1" thickTop="1" x14ac:dyDescent="0.25">
      <c r="B11" s="70" t="s">
        <v>133</v>
      </c>
      <c r="C11" s="71">
        <v>51961</v>
      </c>
      <c r="D11" s="71">
        <v>34465</v>
      </c>
      <c r="E11" s="71">
        <v>24442</v>
      </c>
    </row>
    <row r="12" spans="2:5" ht="22.2" customHeight="1" x14ac:dyDescent="0.25">
      <c r="B12" s="70" t="s">
        <v>134</v>
      </c>
      <c r="C12" s="71">
        <v>81669</v>
      </c>
      <c r="D12" s="71">
        <v>33682</v>
      </c>
      <c r="E12" s="71">
        <v>38979</v>
      </c>
    </row>
    <row r="13" spans="2:5" ht="22.2" customHeight="1" x14ac:dyDescent="0.25">
      <c r="B13" s="72" t="s">
        <v>135</v>
      </c>
      <c r="C13" s="74">
        <f t="shared" ref="C13:E13" si="1">C11-C12</f>
        <v>-29708</v>
      </c>
      <c r="D13" s="74">
        <f t="shared" si="1"/>
        <v>783</v>
      </c>
      <c r="E13" s="74">
        <f t="shared" si="1"/>
        <v>-14537</v>
      </c>
    </row>
    <row r="14" spans="2:5" ht="22.2" customHeight="1" x14ac:dyDescent="0.25">
      <c r="B14" s="72" t="s">
        <v>136</v>
      </c>
      <c r="C14" s="75">
        <f>C10+C13</f>
        <v>51650</v>
      </c>
      <c r="D14" s="75">
        <f t="shared" ref="D14:E14" si="2">D10+D13</f>
        <v>488357</v>
      </c>
      <c r="E14" s="75">
        <f t="shared" si="2"/>
        <v>302038</v>
      </c>
    </row>
    <row r="15" spans="2:5" ht="22.2" customHeight="1" x14ac:dyDescent="0.25">
      <c r="B15" s="70" t="s">
        <v>92</v>
      </c>
      <c r="C15" s="71">
        <v>16700</v>
      </c>
      <c r="D15" s="71">
        <v>98700</v>
      </c>
      <c r="E15" s="71">
        <v>67581</v>
      </c>
    </row>
    <row r="16" spans="2:5" ht="22.2" customHeight="1" thickBot="1" x14ac:dyDescent="0.3">
      <c r="B16" s="105" t="s">
        <v>93</v>
      </c>
      <c r="C16" s="106">
        <f t="shared" ref="C16:E16" si="3">C14-C15</f>
        <v>34950</v>
      </c>
      <c r="D16" s="106">
        <f t="shared" si="3"/>
        <v>389657</v>
      </c>
      <c r="E16" s="106">
        <f t="shared" si="3"/>
        <v>234457</v>
      </c>
    </row>
    <row r="17" spans="2:8" ht="22.2" customHeight="1" thickBot="1" x14ac:dyDescent="0.3"/>
    <row r="18" spans="2:8" ht="22.2" customHeight="1" thickBot="1" x14ac:dyDescent="0.3">
      <c r="B18" s="66" t="s">
        <v>99</v>
      </c>
      <c r="C18" s="67">
        <v>2018</v>
      </c>
      <c r="D18" s="68">
        <v>2017</v>
      </c>
      <c r="E18" s="69">
        <v>2016</v>
      </c>
    </row>
    <row r="19" spans="2:8" ht="22.2" customHeight="1" x14ac:dyDescent="0.25">
      <c r="B19" s="70" t="s">
        <v>137</v>
      </c>
      <c r="C19" s="71">
        <v>29767</v>
      </c>
      <c r="D19" s="71">
        <v>24363</v>
      </c>
      <c r="E19" s="71">
        <v>40242</v>
      </c>
    </row>
    <row r="20" spans="2:8" ht="22.2" customHeight="1" x14ac:dyDescent="0.25">
      <c r="B20" s="70" t="s">
        <v>138</v>
      </c>
      <c r="C20" s="71">
        <v>1247866</v>
      </c>
      <c r="D20" s="71">
        <v>1048569</v>
      </c>
      <c r="E20" s="71">
        <v>934078</v>
      </c>
    </row>
    <row r="21" spans="2:8" ht="22.2" customHeight="1" x14ac:dyDescent="0.25">
      <c r="B21" s="70" t="s">
        <v>139</v>
      </c>
      <c r="C21" s="71">
        <v>1636</v>
      </c>
      <c r="D21" s="71">
        <v>35395</v>
      </c>
      <c r="E21" s="71">
        <v>143759</v>
      </c>
    </row>
    <row r="22" spans="2:8" ht="22.2" customHeight="1" x14ac:dyDescent="0.25">
      <c r="B22" s="70" t="s">
        <v>140</v>
      </c>
      <c r="C22" s="71">
        <v>415918</v>
      </c>
      <c r="D22" s="71">
        <v>334768</v>
      </c>
      <c r="E22" s="71">
        <v>284798</v>
      </c>
    </row>
    <row r="23" spans="2:8" ht="22.2" customHeight="1" x14ac:dyDescent="0.25">
      <c r="B23" s="70" t="s">
        <v>141</v>
      </c>
      <c r="C23" s="71">
        <v>39982</v>
      </c>
      <c r="D23" s="71">
        <v>27356</v>
      </c>
      <c r="E23" s="71">
        <v>83859</v>
      </c>
    </row>
    <row r="24" spans="2:8" ht="22.2" customHeight="1" x14ac:dyDescent="0.25">
      <c r="B24" s="70" t="s">
        <v>142</v>
      </c>
      <c r="C24" s="71">
        <v>55567</v>
      </c>
      <c r="D24" s="71">
        <v>55568</v>
      </c>
      <c r="E24" s="71">
        <v>55569</v>
      </c>
    </row>
    <row r="25" spans="2:8" ht="22.2" customHeight="1" x14ac:dyDescent="0.25">
      <c r="B25" s="78" t="s">
        <v>101</v>
      </c>
      <c r="C25" s="75">
        <f>SUM(C19:C24)</f>
        <v>1790736</v>
      </c>
      <c r="D25" s="75">
        <f t="shared" ref="D25:E25" si="4">SUM(D19:D24)</f>
        <v>1526019</v>
      </c>
      <c r="E25" s="75">
        <f t="shared" si="4"/>
        <v>1542305</v>
      </c>
    </row>
    <row r="26" spans="2:8" ht="22.2" customHeight="1" x14ac:dyDescent="0.25">
      <c r="B26" s="72" t="s">
        <v>43</v>
      </c>
      <c r="C26" s="71"/>
      <c r="D26" s="71"/>
      <c r="E26" s="71"/>
    </row>
    <row r="27" spans="2:8" ht="22.2" customHeight="1" x14ac:dyDescent="0.25">
      <c r="B27" s="70" t="s">
        <v>81</v>
      </c>
      <c r="C27" s="71">
        <v>1533069</v>
      </c>
      <c r="D27" s="71">
        <v>1612264</v>
      </c>
      <c r="E27" s="71">
        <v>1313193</v>
      </c>
    </row>
    <row r="28" spans="2:8" ht="22.2" customHeight="1" x14ac:dyDescent="0.25">
      <c r="B28" s="70" t="s">
        <v>69</v>
      </c>
      <c r="C28" s="71">
        <v>700005</v>
      </c>
      <c r="D28" s="71">
        <v>756395</v>
      </c>
      <c r="E28" s="71">
        <v>763971</v>
      </c>
    </row>
    <row r="29" spans="2:8" ht="22.2" customHeight="1" x14ac:dyDescent="0.25">
      <c r="B29" s="70" t="s">
        <v>143</v>
      </c>
      <c r="C29" s="71">
        <v>236200</v>
      </c>
      <c r="D29" s="71">
        <v>245922</v>
      </c>
      <c r="E29" s="71">
        <v>298357</v>
      </c>
    </row>
    <row r="30" spans="2:8" ht="22.2" customHeight="1" x14ac:dyDescent="0.25">
      <c r="B30" s="70" t="s">
        <v>144</v>
      </c>
      <c r="C30" s="71">
        <v>450853</v>
      </c>
      <c r="D30" s="71">
        <v>1037008</v>
      </c>
      <c r="E30" s="71">
        <v>350046</v>
      </c>
    </row>
    <row r="31" spans="2:8" ht="22.2" customHeight="1" thickBot="1" x14ac:dyDescent="0.3">
      <c r="B31" s="79" t="s">
        <v>102</v>
      </c>
      <c r="C31" s="80">
        <f>SUM(C27:C30)</f>
        <v>2920127</v>
      </c>
      <c r="D31" s="80">
        <f t="shared" ref="D31:E31" si="5">SUM(D27:D30)</f>
        <v>3651589</v>
      </c>
      <c r="E31" s="80">
        <f t="shared" si="5"/>
        <v>2725567</v>
      </c>
    </row>
    <row r="32" spans="2:8" s="81" customFormat="1" ht="22.2" customHeight="1" thickBot="1" x14ac:dyDescent="0.3">
      <c r="B32" s="82" t="s">
        <v>94</v>
      </c>
      <c r="C32" s="83">
        <f>C25+C31</f>
        <v>4710863</v>
      </c>
      <c r="D32" s="83">
        <f t="shared" ref="D32:E32" si="6">D25+D31</f>
        <v>5177608</v>
      </c>
      <c r="E32" s="83">
        <f t="shared" si="6"/>
        <v>4267872</v>
      </c>
      <c r="F32" s="45"/>
      <c r="G32" s="45"/>
      <c r="H32" s="45"/>
    </row>
    <row r="33" spans="2:9" ht="22.2" customHeight="1" thickBot="1" x14ac:dyDescent="0.3"/>
    <row r="34" spans="2:9" ht="22.2" customHeight="1" x14ac:dyDescent="0.25">
      <c r="B34" s="84" t="s">
        <v>95</v>
      </c>
      <c r="C34" s="85"/>
      <c r="D34" s="85"/>
      <c r="E34" s="85"/>
    </row>
    <row r="35" spans="2:9" ht="22.2" customHeight="1" x14ac:dyDescent="0.25">
      <c r="B35" s="70" t="s">
        <v>208</v>
      </c>
      <c r="C35" s="71">
        <v>549093</v>
      </c>
      <c r="D35" s="71">
        <v>549093</v>
      </c>
      <c r="E35" s="71">
        <v>549093</v>
      </c>
      <c r="F35" s="38"/>
    </row>
    <row r="36" spans="2:9" s="81" customFormat="1" ht="22.2" customHeight="1" x14ac:dyDescent="0.25">
      <c r="B36" s="103" t="s">
        <v>209</v>
      </c>
      <c r="C36" s="104">
        <f>D36+C16</f>
        <v>932300</v>
      </c>
      <c r="D36" s="104">
        <f>E36+D16-D51</f>
        <v>897350</v>
      </c>
      <c r="E36" s="104">
        <v>707693</v>
      </c>
      <c r="F36" s="45"/>
      <c r="G36" s="45"/>
      <c r="H36" s="45"/>
      <c r="I36" s="45"/>
    </row>
    <row r="37" spans="2:9" ht="22.2" customHeight="1" thickBot="1" x14ac:dyDescent="0.3">
      <c r="B37" s="86" t="s">
        <v>145</v>
      </c>
      <c r="C37" s="77">
        <f>SUM(C35:C36)</f>
        <v>1481393</v>
      </c>
      <c r="D37" s="77">
        <f>SUM(D35:D36)</f>
        <v>1446443</v>
      </c>
      <c r="E37" s="77">
        <f>SUM(E35:E36)</f>
        <v>1256786</v>
      </c>
    </row>
    <row r="38" spans="2:9" ht="22.2" customHeight="1" thickBot="1" x14ac:dyDescent="0.3">
      <c r="C38" s="87"/>
      <c r="D38" s="87"/>
      <c r="E38" s="87"/>
    </row>
    <row r="39" spans="2:9" ht="22.2" customHeight="1" x14ac:dyDescent="0.25">
      <c r="B39" s="84" t="s">
        <v>146</v>
      </c>
      <c r="C39" s="85"/>
      <c r="D39" s="85"/>
      <c r="E39" s="85"/>
    </row>
    <row r="40" spans="2:9" ht="22.2" customHeight="1" x14ac:dyDescent="0.25">
      <c r="B40" s="72" t="s">
        <v>96</v>
      </c>
      <c r="C40" s="71"/>
      <c r="D40" s="71"/>
      <c r="E40" s="71"/>
    </row>
    <row r="41" spans="2:9" ht="22.2" customHeight="1" x14ac:dyDescent="0.25">
      <c r="B41" s="70" t="s">
        <v>147</v>
      </c>
      <c r="C41" s="71">
        <v>18250</v>
      </c>
      <c r="D41" s="71">
        <v>18170</v>
      </c>
      <c r="E41" s="71">
        <v>18388</v>
      </c>
    </row>
    <row r="42" spans="2:9" ht="22.2" customHeight="1" x14ac:dyDescent="0.25">
      <c r="B42" s="70" t="s">
        <v>82</v>
      </c>
      <c r="C42" s="71">
        <v>41894</v>
      </c>
      <c r="D42" s="71">
        <v>40493</v>
      </c>
      <c r="E42" s="71">
        <v>41183</v>
      </c>
    </row>
    <row r="43" spans="2:9" ht="22.2" customHeight="1" x14ac:dyDescent="0.25">
      <c r="B43" s="70" t="s">
        <v>148</v>
      </c>
      <c r="C43" s="71">
        <v>149195</v>
      </c>
      <c r="D43" s="71">
        <v>162573</v>
      </c>
      <c r="E43" s="71">
        <v>175828</v>
      </c>
    </row>
    <row r="44" spans="2:9" ht="22.2" customHeight="1" thickBot="1" x14ac:dyDescent="0.3">
      <c r="B44" s="76" t="s">
        <v>103</v>
      </c>
      <c r="C44" s="88">
        <f>SUM(C41:C43)</f>
        <v>209339</v>
      </c>
      <c r="D44" s="88">
        <f t="shared" ref="D44:E44" si="7">SUM(D41:D43)</f>
        <v>221236</v>
      </c>
      <c r="E44" s="88">
        <f t="shared" si="7"/>
        <v>235399</v>
      </c>
    </row>
    <row r="45" spans="2:9" ht="22.2" customHeight="1" thickBot="1" x14ac:dyDescent="0.3">
      <c r="C45" s="87"/>
      <c r="D45" s="87"/>
      <c r="E45" s="87"/>
    </row>
    <row r="46" spans="2:9" ht="22.2" customHeight="1" x14ac:dyDescent="0.25">
      <c r="B46" s="84" t="s">
        <v>97</v>
      </c>
      <c r="C46" s="85"/>
      <c r="D46" s="85"/>
      <c r="E46" s="85"/>
    </row>
    <row r="47" spans="2:9" ht="22.2" customHeight="1" x14ac:dyDescent="0.25">
      <c r="B47" s="70" t="s">
        <v>149</v>
      </c>
      <c r="C47" s="71">
        <v>55559</v>
      </c>
      <c r="D47" s="71">
        <v>2114</v>
      </c>
      <c r="E47" s="71">
        <v>1993</v>
      </c>
    </row>
    <row r="48" spans="2:9" ht="22.2" customHeight="1" x14ac:dyDescent="0.25">
      <c r="B48" s="70" t="s">
        <v>80</v>
      </c>
      <c r="C48" s="71">
        <v>2227449</v>
      </c>
      <c r="D48" s="71">
        <v>2484033</v>
      </c>
      <c r="E48" s="71">
        <v>2070223</v>
      </c>
    </row>
    <row r="49" spans="2:7" ht="22.2" customHeight="1" x14ac:dyDescent="0.25">
      <c r="B49" s="70" t="s">
        <v>104</v>
      </c>
      <c r="C49" s="71">
        <v>11805</v>
      </c>
      <c r="D49" s="71">
        <v>58277</v>
      </c>
      <c r="E49" s="71">
        <v>73263</v>
      </c>
    </row>
    <row r="50" spans="2:7" ht="22.2" customHeight="1" x14ac:dyDescent="0.25">
      <c r="B50" s="70" t="s">
        <v>150</v>
      </c>
      <c r="C50" s="71">
        <v>132959</v>
      </c>
      <c r="D50" s="71">
        <v>94240</v>
      </c>
      <c r="E50" s="71">
        <v>78131</v>
      </c>
    </row>
    <row r="51" spans="2:7" s="81" customFormat="1" ht="22.2" customHeight="1" x14ac:dyDescent="0.25">
      <c r="B51" s="103" t="s">
        <v>105</v>
      </c>
      <c r="C51" s="104">
        <v>0</v>
      </c>
      <c r="D51" s="104">
        <v>200000</v>
      </c>
      <c r="E51" s="104">
        <v>100000</v>
      </c>
    </row>
    <row r="52" spans="2:7" ht="22.2" customHeight="1" x14ac:dyDescent="0.25">
      <c r="B52" s="70" t="s">
        <v>106</v>
      </c>
      <c r="C52" s="71">
        <v>592359</v>
      </c>
      <c r="D52" s="71">
        <v>671265</v>
      </c>
      <c r="E52" s="71">
        <v>452077</v>
      </c>
    </row>
    <row r="53" spans="2:7" ht="22.2" customHeight="1" x14ac:dyDescent="0.25">
      <c r="B53" s="78" t="s">
        <v>107</v>
      </c>
      <c r="C53" s="89">
        <f>SUM(C47:C52)</f>
        <v>3020131</v>
      </c>
      <c r="D53" s="89">
        <f t="shared" ref="D53:E53" si="8">SUM(D47:D52)</f>
        <v>3509929</v>
      </c>
      <c r="E53" s="89">
        <f t="shared" si="8"/>
        <v>2775687</v>
      </c>
    </row>
    <row r="54" spans="2:7" ht="22.2" customHeight="1" x14ac:dyDescent="0.25">
      <c r="B54" s="90" t="s">
        <v>108</v>
      </c>
      <c r="C54" s="89">
        <f>C44+C53</f>
        <v>3229470</v>
      </c>
      <c r="D54" s="89">
        <f t="shared" ref="D54:E54" si="9">D44+D53</f>
        <v>3731165</v>
      </c>
      <c r="E54" s="89">
        <f t="shared" si="9"/>
        <v>3011086</v>
      </c>
    </row>
    <row r="55" spans="2:7" ht="22.2" customHeight="1" thickBot="1" x14ac:dyDescent="0.3">
      <c r="B55" s="86" t="s">
        <v>151</v>
      </c>
      <c r="C55" s="77">
        <f>C54+C37</f>
        <v>4710863</v>
      </c>
      <c r="D55" s="77">
        <f t="shared" ref="D55:E55" si="10">D54+D37</f>
        <v>5177608</v>
      </c>
      <c r="E55" s="77">
        <f t="shared" si="10"/>
        <v>4267872</v>
      </c>
      <c r="G55" s="38"/>
    </row>
    <row r="57" spans="2:7" ht="22.2" customHeight="1" x14ac:dyDescent="0.25">
      <c r="B57" s="65" t="s">
        <v>152</v>
      </c>
    </row>
    <row r="58" spans="2:7" ht="22.2" customHeight="1" x14ac:dyDescent="0.25">
      <c r="B58" s="65" t="s">
        <v>215</v>
      </c>
    </row>
    <row r="59" spans="2:7" ht="22.2" customHeight="1" thickBot="1" x14ac:dyDescent="0.3">
      <c r="B59" s="65" t="s">
        <v>216</v>
      </c>
    </row>
    <row r="60" spans="2:7" ht="22.2" customHeight="1" thickBot="1" x14ac:dyDescent="0.3">
      <c r="C60" s="91">
        <v>2018</v>
      </c>
      <c r="D60" s="92">
        <v>2017</v>
      </c>
      <c r="E60" s="93"/>
    </row>
    <row r="61" spans="2:7" ht="22.2" customHeight="1" x14ac:dyDescent="0.25">
      <c r="B61" s="94" t="s">
        <v>153</v>
      </c>
      <c r="C61" s="107">
        <f>(C4-C5)/C4</f>
        <v>0.21846565122832406</v>
      </c>
      <c r="D61" s="107">
        <f>(D4-D5)/D4</f>
        <v>0.23411813074952481</v>
      </c>
      <c r="E61" s="95"/>
    </row>
    <row r="62" spans="2:7" ht="22.2" customHeight="1" x14ac:dyDescent="0.25">
      <c r="B62" s="96" t="s">
        <v>60</v>
      </c>
      <c r="C62" s="108">
        <f>C10/C4</f>
        <v>7.721322496895641E-3</v>
      </c>
      <c r="D62" s="108">
        <f>D10/D4</f>
        <v>4.6019228304353954E-2</v>
      </c>
      <c r="E62" s="95"/>
    </row>
    <row r="63" spans="2:7" ht="22.2" customHeight="1" x14ac:dyDescent="0.25">
      <c r="B63" s="90" t="s">
        <v>154</v>
      </c>
      <c r="C63" s="109">
        <f>(C14+C12)/C4</f>
        <v>1.2652707711148627E-2</v>
      </c>
      <c r="D63" s="109">
        <f>(D14+D12)/D4</f>
        <v>4.9272175966677129E-2</v>
      </c>
      <c r="E63" s="95"/>
    </row>
    <row r="64" spans="2:7" ht="22.2" customHeight="1" x14ac:dyDescent="0.25">
      <c r="B64" s="90" t="s">
        <v>155</v>
      </c>
      <c r="C64" s="110">
        <f>C4/((C32+D32)/2)</f>
        <v>2.1311274513521856</v>
      </c>
      <c r="D64" s="110">
        <f>D4/((D32+E32)/2)</f>
        <v>2.2434023469426645</v>
      </c>
      <c r="E64" s="97"/>
    </row>
    <row r="65" spans="1:5" ht="22.2" customHeight="1" x14ac:dyDescent="0.25">
      <c r="B65" s="90" t="s">
        <v>54</v>
      </c>
      <c r="C65" s="109">
        <f>C63*C64</f>
        <v>2.6964532737164319E-2</v>
      </c>
      <c r="D65" s="109">
        <f t="shared" ref="D65" si="11">D63*D64</f>
        <v>0.11053731520261542</v>
      </c>
      <c r="E65" s="95"/>
    </row>
    <row r="66" spans="1:5" ht="22.2" customHeight="1" x14ac:dyDescent="0.25">
      <c r="B66" s="90" t="s">
        <v>156</v>
      </c>
      <c r="C66" s="109">
        <f>C12/((C54+D54)/2)</f>
        <v>2.3465962516350879E-2</v>
      </c>
      <c r="D66" s="109">
        <f>D12/((D54+E54)/2)</f>
        <v>9.9913218893808615E-3</v>
      </c>
      <c r="E66" s="95"/>
    </row>
    <row r="67" spans="1:5" ht="22.2" customHeight="1" x14ac:dyDescent="0.25">
      <c r="B67" s="90" t="s">
        <v>157</v>
      </c>
      <c r="C67" s="110">
        <f>((C54+D54)/2)/((C37+D37)/2)</f>
        <v>2.3773992122509595</v>
      </c>
      <c r="D67" s="110">
        <f>((D54+E54)/2)/((D37+E37)/2)</f>
        <v>2.4941471847187198</v>
      </c>
      <c r="E67" s="97"/>
    </row>
    <row r="68" spans="1:5" ht="22.2" customHeight="1" x14ac:dyDescent="0.25">
      <c r="B68" s="90" t="s">
        <v>63</v>
      </c>
      <c r="C68" s="109">
        <f>C65+(C65-C66)*C67</f>
        <v>3.5282030824130853E-2</v>
      </c>
      <c r="D68" s="109">
        <f>D65+(D65-D66)*D67</f>
        <v>0.36131382135956658</v>
      </c>
      <c r="E68" s="95"/>
    </row>
    <row r="69" spans="1:5" ht="22.2" customHeight="1" x14ac:dyDescent="0.25">
      <c r="B69" s="90" t="s">
        <v>158</v>
      </c>
      <c r="C69" s="109">
        <f>C37/C55</f>
        <v>0.31446318859198408</v>
      </c>
      <c r="D69" s="109">
        <f>D37/D55</f>
        <v>0.27936510450385582</v>
      </c>
      <c r="E69" s="95"/>
    </row>
    <row r="70" spans="1:5" ht="22.2" customHeight="1" x14ac:dyDescent="0.25">
      <c r="B70" s="90" t="s">
        <v>53</v>
      </c>
      <c r="C70" s="111">
        <f>C31/C53</f>
        <v>0.96688752905089215</v>
      </c>
      <c r="D70" s="111">
        <f>D31/D53</f>
        <v>1.0403597907536022</v>
      </c>
      <c r="E70" s="95"/>
    </row>
    <row r="71" spans="1:5" ht="22.2" customHeight="1" x14ac:dyDescent="0.25">
      <c r="B71" s="90" t="s">
        <v>68</v>
      </c>
      <c r="C71" s="111">
        <f>(C31-C27)/C53</f>
        <v>0.45927080646501756</v>
      </c>
      <c r="D71" s="111">
        <f>(D31-D27)/D53</f>
        <v>0.58101602625010362</v>
      </c>
      <c r="E71" s="95"/>
    </row>
    <row r="72" spans="1:5" ht="22.2" customHeight="1" thickBot="1" x14ac:dyDescent="0.3">
      <c r="B72" s="98" t="s">
        <v>202</v>
      </c>
      <c r="C72" s="112">
        <f>((C28+D28)/2)/(C4*1.25)*360</f>
        <v>19.903735442918322</v>
      </c>
      <c r="D72" s="112">
        <f>((D28+E28)/2)/(D4*1.25)*360</f>
        <v>20.663764041285109</v>
      </c>
      <c r="E72" s="95"/>
    </row>
    <row r="73" spans="1:5" ht="22.2" customHeight="1" x14ac:dyDescent="0.25">
      <c r="C73" s="95"/>
      <c r="D73" s="95"/>
      <c r="E73" s="95"/>
    </row>
    <row r="74" spans="1:5" ht="22.2" customHeight="1" x14ac:dyDescent="0.25">
      <c r="B74" s="65" t="s">
        <v>159</v>
      </c>
      <c r="C74" s="95"/>
      <c r="D74" s="95"/>
      <c r="E74" s="95"/>
    </row>
    <row r="75" spans="1:5" ht="22.2" customHeight="1" x14ac:dyDescent="0.25">
      <c r="B75" s="65"/>
      <c r="C75" s="95"/>
      <c r="D75" s="95"/>
      <c r="E75" s="95"/>
    </row>
    <row r="76" spans="1:5" ht="22.2" customHeight="1" x14ac:dyDescent="0.25">
      <c r="A76" s="65" t="s">
        <v>205</v>
      </c>
      <c r="B76" s="64" t="s">
        <v>203</v>
      </c>
      <c r="C76" s="95"/>
      <c r="D76" s="95"/>
      <c r="E76" s="95"/>
    </row>
    <row r="77" spans="1:5" ht="22.2" customHeight="1" x14ac:dyDescent="0.25">
      <c r="B77" s="102" t="s">
        <v>13</v>
      </c>
      <c r="C77" s="102">
        <f>3000000-1000000+C10</f>
        <v>2081358</v>
      </c>
      <c r="D77" s="95"/>
      <c r="E77" s="95"/>
    </row>
    <row r="78" spans="1:5" s="81" customFormat="1" ht="22.2" customHeight="1" x14ac:dyDescent="0.25">
      <c r="B78" s="115"/>
      <c r="C78" s="115"/>
      <c r="D78" s="114"/>
      <c r="E78" s="114"/>
    </row>
    <row r="79" spans="1:5" ht="22.2" customHeight="1" x14ac:dyDescent="0.3">
      <c r="A79" s="65">
        <v>2</v>
      </c>
      <c r="B79" s="64" t="s">
        <v>229</v>
      </c>
      <c r="C79" s="36"/>
      <c r="D79" s="95"/>
      <c r="E79" s="95"/>
    </row>
    <row r="80" spans="1:5" ht="22.2" customHeight="1" x14ac:dyDescent="0.25">
      <c r="A80" s="65"/>
      <c r="B80" s="102" t="s">
        <v>13</v>
      </c>
      <c r="C80" s="119">
        <f>1000*C61</f>
        <v>218.46565122832408</v>
      </c>
      <c r="D80" s="95"/>
      <c r="E80" s="95"/>
    </row>
    <row r="81" spans="1:5" ht="22.2" customHeight="1" x14ac:dyDescent="0.25">
      <c r="A81" s="65"/>
      <c r="C81" s="95"/>
      <c r="D81" s="95"/>
      <c r="E81" s="95"/>
    </row>
    <row r="82" spans="1:5" ht="22.2" customHeight="1" x14ac:dyDescent="0.3">
      <c r="A82" s="65">
        <v>3</v>
      </c>
      <c r="B82" s="64" t="s">
        <v>230</v>
      </c>
      <c r="C82" s="118"/>
      <c r="D82"/>
      <c r="E82" s="95"/>
    </row>
    <row r="83" spans="1:5" ht="22.2" customHeight="1" x14ac:dyDescent="0.3">
      <c r="A83" s="65"/>
      <c r="B83" s="102" t="s">
        <v>13</v>
      </c>
      <c r="C83" s="119">
        <f>1000*C66</f>
        <v>23.465962516350878</v>
      </c>
      <c r="D83"/>
      <c r="E83" s="95"/>
    </row>
    <row r="84" spans="1:5" s="81" customFormat="1" ht="22.2" customHeight="1" x14ac:dyDescent="0.25">
      <c r="B84" s="115"/>
      <c r="C84" s="115"/>
      <c r="D84" s="114"/>
      <c r="E84" s="114"/>
    </row>
    <row r="85" spans="1:5" ht="22.2" customHeight="1" x14ac:dyDescent="0.25">
      <c r="A85" s="65" t="s">
        <v>204</v>
      </c>
      <c r="B85" s="64" t="s">
        <v>206</v>
      </c>
      <c r="C85" s="95"/>
      <c r="D85" s="95"/>
      <c r="E85" s="95"/>
    </row>
    <row r="86" spans="1:5" ht="22.2" customHeight="1" x14ac:dyDescent="0.25">
      <c r="B86" s="102" t="s">
        <v>13</v>
      </c>
      <c r="C86" s="102" t="s">
        <v>207</v>
      </c>
      <c r="D86" s="95"/>
      <c r="E86" s="95"/>
    </row>
    <row r="88" spans="1:5" ht="22.2" customHeight="1" x14ac:dyDescent="0.25">
      <c r="A88" s="65" t="s">
        <v>210</v>
      </c>
      <c r="B88" s="64" t="s">
        <v>178</v>
      </c>
      <c r="C88" s="100"/>
      <c r="D88" s="95"/>
      <c r="E88" s="95"/>
    </row>
    <row r="89" spans="1:5" ht="22.2" customHeight="1" x14ac:dyDescent="0.25">
      <c r="A89" s="65"/>
      <c r="B89" s="64" t="s">
        <v>161</v>
      </c>
      <c r="C89" s="99"/>
      <c r="D89" s="95"/>
      <c r="E89" s="95"/>
    </row>
    <row r="90" spans="1:5" ht="22.2" customHeight="1" x14ac:dyDescent="0.25">
      <c r="A90" s="65"/>
      <c r="B90" s="64" t="s">
        <v>162</v>
      </c>
      <c r="C90" s="99" t="s">
        <v>109</v>
      </c>
      <c r="D90" s="95"/>
      <c r="E90" s="95"/>
    </row>
    <row r="91" spans="1:5" ht="22.2" customHeight="1" x14ac:dyDescent="0.25">
      <c r="A91" s="65"/>
      <c r="B91" s="64" t="s">
        <v>163</v>
      </c>
      <c r="C91" s="99" t="s">
        <v>109</v>
      </c>
      <c r="D91" s="95"/>
      <c r="E91" s="95"/>
    </row>
    <row r="92" spans="1:5" ht="22.2" customHeight="1" x14ac:dyDescent="0.25">
      <c r="A92" s="65"/>
      <c r="B92" s="64" t="s">
        <v>164</v>
      </c>
      <c r="C92" s="99"/>
      <c r="D92" s="95"/>
      <c r="E92" s="95"/>
    </row>
    <row r="93" spans="1:5" ht="22.2" customHeight="1" x14ac:dyDescent="0.25">
      <c r="A93" s="65"/>
      <c r="B93" s="64" t="s">
        <v>160</v>
      </c>
      <c r="C93" s="99"/>
      <c r="D93" s="95"/>
      <c r="E93" s="95"/>
    </row>
    <row r="94" spans="1:5" ht="22.2" customHeight="1" x14ac:dyDescent="0.25">
      <c r="A94" s="65"/>
      <c r="B94" s="64" t="s">
        <v>165</v>
      </c>
      <c r="C94" s="99"/>
      <c r="D94" s="95"/>
      <c r="E94" s="95"/>
    </row>
    <row r="95" spans="1:5" ht="22.2" customHeight="1" x14ac:dyDescent="0.25">
      <c r="A95" s="65"/>
      <c r="B95" s="64" t="s">
        <v>166</v>
      </c>
      <c r="C95" s="99" t="s">
        <v>109</v>
      </c>
      <c r="D95" s="95"/>
      <c r="E95" s="95"/>
    </row>
    <row r="96" spans="1:5" ht="22.2" customHeight="1" x14ac:dyDescent="0.25">
      <c r="A96" s="65"/>
      <c r="B96" s="64" t="s">
        <v>167</v>
      </c>
      <c r="C96" s="99"/>
      <c r="D96" s="95"/>
      <c r="E96" s="95"/>
    </row>
    <row r="97" spans="1:5" ht="22.2" customHeight="1" x14ac:dyDescent="0.25">
      <c r="A97" s="65"/>
      <c r="B97" s="64" t="s">
        <v>168</v>
      </c>
      <c r="C97" s="99"/>
      <c r="D97" s="95"/>
      <c r="E97" s="95"/>
    </row>
    <row r="98" spans="1:5" ht="22.2" customHeight="1" x14ac:dyDescent="0.25">
      <c r="A98" s="65"/>
      <c r="C98" s="100"/>
      <c r="D98" s="95"/>
      <c r="E98" s="95"/>
    </row>
    <row r="99" spans="1:5" ht="22.2" customHeight="1" x14ac:dyDescent="0.25">
      <c r="A99" s="65" t="s">
        <v>211</v>
      </c>
      <c r="B99" s="64" t="s">
        <v>223</v>
      </c>
      <c r="C99" s="100"/>
      <c r="D99" s="95"/>
      <c r="E99" s="95"/>
    </row>
    <row r="100" spans="1:5" ht="22.2" customHeight="1" x14ac:dyDescent="0.25">
      <c r="A100" s="65"/>
      <c r="B100" s="64" t="s">
        <v>169</v>
      </c>
      <c r="C100" s="99"/>
      <c r="D100" s="95"/>
      <c r="E100" s="95"/>
    </row>
    <row r="101" spans="1:5" ht="22.2" customHeight="1" x14ac:dyDescent="0.25">
      <c r="A101" s="65"/>
      <c r="B101" s="64" t="s">
        <v>170</v>
      </c>
      <c r="C101" s="99" t="s">
        <v>109</v>
      </c>
      <c r="D101" s="95"/>
      <c r="E101" s="95"/>
    </row>
    <row r="102" spans="1:5" ht="22.2" customHeight="1" x14ac:dyDescent="0.25">
      <c r="A102" s="65"/>
      <c r="B102" s="64" t="s">
        <v>171</v>
      </c>
      <c r="C102" s="99"/>
      <c r="D102" s="95"/>
      <c r="E102" s="95"/>
    </row>
    <row r="103" spans="1:5" ht="22.2" customHeight="1" x14ac:dyDescent="0.25">
      <c r="A103" s="65"/>
      <c r="C103" s="113"/>
      <c r="D103" s="95"/>
      <c r="E103" s="95"/>
    </row>
    <row r="104" spans="1:5" ht="22.2" customHeight="1" x14ac:dyDescent="0.25">
      <c r="A104" s="65" t="s">
        <v>220</v>
      </c>
      <c r="B104" s="64" t="s">
        <v>222</v>
      </c>
      <c r="C104" s="113"/>
      <c r="D104" s="95"/>
      <c r="E104" s="95"/>
    </row>
    <row r="105" spans="1:5" ht="22.2" customHeight="1" x14ac:dyDescent="0.25">
      <c r="A105" s="65"/>
      <c r="B105" s="64" t="s">
        <v>169</v>
      </c>
      <c r="C105" s="99"/>
      <c r="D105" s="95"/>
      <c r="E105" s="95"/>
    </row>
    <row r="106" spans="1:5" ht="22.2" customHeight="1" x14ac:dyDescent="0.25">
      <c r="A106" s="65"/>
      <c r="B106" s="64" t="s">
        <v>170</v>
      </c>
      <c r="C106" s="99"/>
      <c r="D106" s="95"/>
      <c r="E106" s="95"/>
    </row>
    <row r="107" spans="1:5" ht="22.2" customHeight="1" x14ac:dyDescent="0.25">
      <c r="A107" s="65"/>
      <c r="B107" s="64" t="s">
        <v>171</v>
      </c>
      <c r="C107" s="99" t="s">
        <v>109</v>
      </c>
      <c r="D107" s="95"/>
      <c r="E107" s="95"/>
    </row>
    <row r="108" spans="1:5" ht="22.2" customHeight="1" x14ac:dyDescent="0.25">
      <c r="A108" s="65"/>
      <c r="C108" s="100"/>
      <c r="D108" s="95"/>
      <c r="E108" s="95"/>
    </row>
    <row r="109" spans="1:5" ht="22.2" customHeight="1" x14ac:dyDescent="0.25">
      <c r="A109" s="65" t="s">
        <v>212</v>
      </c>
      <c r="B109" s="64" t="s">
        <v>221</v>
      </c>
      <c r="C109" s="100"/>
      <c r="D109" s="95"/>
      <c r="E109" s="95"/>
    </row>
    <row r="110" spans="1:5" ht="22.2" customHeight="1" x14ac:dyDescent="0.25">
      <c r="A110" s="65"/>
      <c r="B110" s="64" t="s">
        <v>169</v>
      </c>
      <c r="C110" s="99" t="s">
        <v>109</v>
      </c>
      <c r="D110" s="95"/>
      <c r="E110" s="95"/>
    </row>
    <row r="111" spans="1:5" ht="22.2" customHeight="1" x14ac:dyDescent="0.25">
      <c r="A111" s="65"/>
      <c r="B111" s="64" t="s">
        <v>170</v>
      </c>
      <c r="C111" s="99"/>
      <c r="D111" s="95"/>
      <c r="E111" s="95"/>
    </row>
    <row r="112" spans="1:5" ht="22.2" customHeight="1" x14ac:dyDescent="0.25">
      <c r="A112" s="65"/>
      <c r="B112" s="64" t="s">
        <v>171</v>
      </c>
      <c r="C112" s="99"/>
      <c r="D112" s="95"/>
      <c r="E112" s="95"/>
    </row>
    <row r="113" spans="1:5" ht="22.2" customHeight="1" x14ac:dyDescent="0.25">
      <c r="A113" s="65"/>
      <c r="C113" s="100"/>
      <c r="D113" s="95"/>
      <c r="E113" s="95"/>
    </row>
    <row r="114" spans="1:5" ht="22.2" customHeight="1" x14ac:dyDescent="0.25">
      <c r="A114" s="65" t="s">
        <v>213</v>
      </c>
      <c r="B114" s="64" t="s">
        <v>179</v>
      </c>
      <c r="C114" s="100"/>
      <c r="D114" s="95"/>
      <c r="E114" s="95"/>
    </row>
    <row r="115" spans="1:5" ht="22.2" customHeight="1" x14ac:dyDescent="0.25">
      <c r="A115" s="65"/>
      <c r="B115" s="64" t="s">
        <v>172</v>
      </c>
      <c r="C115" s="99"/>
      <c r="D115" s="95"/>
      <c r="E115" s="95"/>
    </row>
    <row r="116" spans="1:5" ht="22.2" customHeight="1" x14ac:dyDescent="0.25">
      <c r="A116" s="65"/>
      <c r="B116" s="64" t="s">
        <v>173</v>
      </c>
      <c r="C116" s="99" t="s">
        <v>109</v>
      </c>
      <c r="D116" s="95"/>
      <c r="E116" s="95"/>
    </row>
    <row r="117" spans="1:5" ht="22.2" customHeight="1" x14ac:dyDescent="0.25">
      <c r="A117" s="65"/>
      <c r="B117" s="64" t="s">
        <v>174</v>
      </c>
      <c r="C117" s="99" t="s">
        <v>109</v>
      </c>
      <c r="D117" s="95"/>
      <c r="E117" s="95"/>
    </row>
    <row r="118" spans="1:5" ht="22.2" customHeight="1" x14ac:dyDescent="0.25">
      <c r="A118" s="65"/>
      <c r="B118" s="64" t="s">
        <v>175</v>
      </c>
      <c r="C118" s="99"/>
      <c r="D118" s="95"/>
      <c r="E118" s="95"/>
    </row>
    <row r="119" spans="1:5" ht="22.2" customHeight="1" x14ac:dyDescent="0.25">
      <c r="A119" s="65"/>
      <c r="B119" s="64" t="s">
        <v>176</v>
      </c>
      <c r="C119" s="99"/>
      <c r="D119" s="95"/>
      <c r="E119" s="95"/>
    </row>
    <row r="120" spans="1:5" ht="22.2" customHeight="1" x14ac:dyDescent="0.25">
      <c r="A120" s="65"/>
      <c r="B120" s="64" t="s">
        <v>177</v>
      </c>
      <c r="C120" s="101"/>
    </row>
    <row r="121" spans="1:5" ht="22.2" customHeight="1" x14ac:dyDescent="0.25">
      <c r="A121" s="65"/>
    </row>
    <row r="122" spans="1:5" ht="22.2" customHeight="1" x14ac:dyDescent="0.25">
      <c r="A122" s="65" t="s">
        <v>214</v>
      </c>
      <c r="B122" s="64" t="s">
        <v>218</v>
      </c>
    </row>
    <row r="123" spans="1:5" ht="22.2" customHeight="1" x14ac:dyDescent="0.25">
      <c r="B123" s="102" t="s">
        <v>13</v>
      </c>
      <c r="C123" s="102">
        <f>C4*1.25+D28-C28</f>
        <v>13227385</v>
      </c>
      <c r="D123" s="95"/>
      <c r="E123" s="95"/>
    </row>
    <row r="125" spans="1:5" ht="22.2" customHeight="1" x14ac:dyDescent="0.25">
      <c r="A125" s="65" t="s">
        <v>219</v>
      </c>
      <c r="B125" s="64" t="s">
        <v>217</v>
      </c>
      <c r="C125" s="95"/>
      <c r="D125" s="95"/>
      <c r="E125" s="95"/>
    </row>
    <row r="126" spans="1:5" ht="22.2" customHeight="1" x14ac:dyDescent="0.25">
      <c r="B126" s="102" t="s">
        <v>13</v>
      </c>
      <c r="C126" s="102">
        <f>C5-D27+C27</f>
        <v>8155673</v>
      </c>
    </row>
    <row r="128" spans="1:5" ht="22.2" customHeight="1" x14ac:dyDescent="0.25">
      <c r="A128" s="65" t="s">
        <v>224</v>
      </c>
      <c r="B128" s="64" t="s">
        <v>225</v>
      </c>
      <c r="C128" s="95"/>
    </row>
    <row r="129" spans="2:3" ht="22.2" customHeight="1" x14ac:dyDescent="0.25">
      <c r="B129" s="102" t="s">
        <v>13</v>
      </c>
      <c r="C129" s="102">
        <f>D51</f>
        <v>200000</v>
      </c>
    </row>
  </sheetData>
  <pageMargins left="0.23622047244094491" right="0.23622047244094491" top="0.74803149606299213" bottom="0.74803149606299213" header="0.31496062992125984" footer="0.31496062992125984"/>
  <pageSetup paperSize="9" scale="62" fitToHeight="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 15 %</vt:lpstr>
      <vt:lpstr>RA m. løsn. 20 %</vt:lpstr>
      <vt:lpstr>'RA m. løsn. 20 %'!Print_Area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Torunn</dc:creator>
  <cp:lastModifiedBy>Torunn</cp:lastModifiedBy>
  <cp:lastPrinted>2019-11-26T18:19:28Z</cp:lastPrinted>
  <dcterms:created xsi:type="dcterms:W3CDTF">2019-02-04T13:21:47Z</dcterms:created>
  <dcterms:modified xsi:type="dcterms:W3CDTF">2019-11-27T11:57:21Z</dcterms:modified>
</cp:coreProperties>
</file>