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paReserve\Desktop\"/>
    </mc:Choice>
  </mc:AlternateContent>
  <xr:revisionPtr revIDLastSave="0" documentId="8_{529328E1-726C-42F4-ACCE-6E85DD704783}" xr6:coauthVersionLast="45" xr6:coauthVersionMax="45" xr10:uidLastSave="{00000000-0000-0000-0000-000000000000}"/>
  <bookViews>
    <workbookView xWindow="970" yWindow="-110" windowWidth="24740" windowHeight="14620" activeTab="4" xr2:uid="{00000000-000D-0000-FFFF-FFFF00000000}"/>
  </bookViews>
  <sheets>
    <sheet name="Opp 1" sheetId="9" r:id="rId1"/>
    <sheet name="Opp 2" sheetId="8" r:id="rId2"/>
    <sheet name="Opp 3" sheetId="7" r:id="rId3"/>
    <sheet name="Opp 4" sheetId="6" r:id="rId4"/>
    <sheet name="Opp 5" sheetId="5" r:id="rId5"/>
    <sheet name="Opp 6" sheetId="4" r:id="rId6"/>
    <sheet name="Opp 7" sheetId="1" r:id="rId7"/>
    <sheet name="Opp 8" sheetId="2" r:id="rId8"/>
    <sheet name="Opp 9" sheetId="11" r:id="rId9"/>
    <sheet name="Opp 10" sheetId="12" r:id="rId10"/>
    <sheet name="Opp 11" sheetId="3" r:id="rId11"/>
    <sheet name="Opp 12" sheetId="10" r:id="rId12"/>
    <sheet name="Opp 13" sheetId="13" r:id="rId13"/>
    <sheet name="Opp 14" sheetId="14" r:id="rId14"/>
    <sheet name="Opp 15" sheetId="15" r:id="rId15"/>
    <sheet name="Opp 16" sheetId="20" r:id="rId16"/>
    <sheet name="Opp 17" sheetId="16" r:id="rId17"/>
    <sheet name="Opp 18" sheetId="18" r:id="rId18"/>
    <sheet name="Opp 19" sheetId="19" r:id="rId19"/>
    <sheet name="Opp 20" sheetId="22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5" l="1"/>
  <c r="B7" i="5" l="1"/>
  <c r="H15" i="5"/>
  <c r="H17" i="5" s="1"/>
  <c r="B19" i="5" s="1"/>
  <c r="G15" i="5"/>
  <c r="G17" i="5" s="1"/>
  <c r="F15" i="5"/>
  <c r="F17" i="5" s="1"/>
  <c r="E15" i="5"/>
  <c r="E17" i="5" s="1"/>
  <c r="D15" i="5"/>
  <c r="D17" i="5" s="1"/>
  <c r="C15" i="5"/>
  <c r="C17" i="5" s="1"/>
  <c r="B17" i="5"/>
  <c r="E13" i="6"/>
  <c r="B4" i="22" l="1"/>
  <c r="B3" i="22"/>
  <c r="F2" i="22"/>
  <c r="G19" i="20"/>
  <c r="F19" i="20"/>
  <c r="E19" i="20"/>
  <c r="C19" i="20"/>
  <c r="B19" i="20"/>
  <c r="F18" i="20"/>
  <c r="E18" i="20"/>
  <c r="C18" i="20"/>
  <c r="B18" i="20"/>
  <c r="E17" i="20"/>
  <c r="D17" i="20"/>
  <c r="C17" i="20"/>
  <c r="B17" i="20"/>
  <c r="D16" i="20"/>
  <c r="C16" i="20"/>
  <c r="B16" i="20"/>
  <c r="C15" i="20"/>
  <c r="B15" i="20"/>
  <c r="H15" i="20" s="1"/>
  <c r="I15" i="20" s="1"/>
  <c r="H16" i="20" l="1"/>
  <c r="I16" i="20" s="1"/>
  <c r="H17" i="20"/>
  <c r="I17" i="20" s="1"/>
  <c r="H18" i="20"/>
  <c r="I18" i="20" s="1"/>
  <c r="H19" i="20"/>
  <c r="I19" i="20" s="1"/>
  <c r="G19" i="10"/>
  <c r="G28" i="10" s="1"/>
  <c r="G30" i="10" s="1"/>
  <c r="F19" i="10"/>
  <c r="F28" i="10" s="1"/>
  <c r="E19" i="10"/>
  <c r="E28" i="10" s="1"/>
  <c r="D19" i="10"/>
  <c r="D28" i="10" s="1"/>
  <c r="C19" i="10"/>
  <c r="C28" i="10" s="1"/>
  <c r="B19" i="10"/>
  <c r="A19" i="10"/>
  <c r="G9" i="10"/>
  <c r="G29" i="10" s="1"/>
  <c r="F9" i="10"/>
  <c r="F29" i="10" s="1"/>
  <c r="E9" i="10"/>
  <c r="E29" i="10" s="1"/>
  <c r="D9" i="10"/>
  <c r="D29" i="10" s="1"/>
  <c r="C9" i="10"/>
  <c r="C29" i="10" s="1"/>
  <c r="B9" i="10"/>
  <c r="B29" i="10" s="1"/>
  <c r="B30" i="10" s="1"/>
  <c r="E30" i="10" l="1"/>
  <c r="B24" i="10"/>
  <c r="F30" i="10"/>
  <c r="C30" i="10"/>
  <c r="B32" i="10" s="1"/>
  <c r="D30" i="10"/>
  <c r="B14" i="10"/>
  <c r="B23" i="10"/>
  <c r="B13" i="10"/>
  <c r="D11" i="3" l="1"/>
  <c r="A25" i="3" s="1"/>
  <c r="E11" i="3"/>
  <c r="A26" i="3" s="1"/>
  <c r="F11" i="3"/>
  <c r="A27" i="3" s="1"/>
  <c r="C11" i="3"/>
  <c r="A24" i="3" s="1"/>
  <c r="B3" i="19" l="1"/>
  <c r="E8" i="19" s="1"/>
  <c r="E9" i="19" s="1"/>
  <c r="B7" i="18"/>
  <c r="B3" i="18"/>
  <c r="I12" i="18" s="1"/>
  <c r="C4" i="16"/>
  <c r="C8" i="16" s="1"/>
  <c r="B4" i="16"/>
  <c r="B8" i="16" s="1"/>
  <c r="C7" i="18" l="1"/>
  <c r="C12" i="18"/>
  <c r="G7" i="18"/>
  <c r="G12" i="18"/>
  <c r="E7" i="18"/>
  <c r="F7" i="18"/>
  <c r="I7" i="18"/>
  <c r="D12" i="18"/>
  <c r="H12" i="18"/>
  <c r="C8" i="19"/>
  <c r="D8" i="19"/>
  <c r="D9" i="19" s="1"/>
  <c r="E12" i="18"/>
  <c r="H7" i="18"/>
  <c r="D7" i="18"/>
  <c r="F12" i="18"/>
  <c r="B39" i="15"/>
  <c r="B38" i="15"/>
  <c r="B37" i="15"/>
  <c r="I31" i="15"/>
  <c r="H31" i="15"/>
  <c r="G31" i="15"/>
  <c r="F31" i="15"/>
  <c r="E31" i="15"/>
  <c r="D31" i="15"/>
  <c r="C31" i="15"/>
  <c r="F30" i="15"/>
  <c r="E30" i="15"/>
  <c r="D30" i="15"/>
  <c r="C30" i="15"/>
  <c r="I29" i="15"/>
  <c r="H29" i="15"/>
  <c r="G29" i="15"/>
  <c r="F29" i="15"/>
  <c r="E29" i="15"/>
  <c r="D29" i="15"/>
  <c r="D32" i="15" s="1"/>
  <c r="C29" i="15"/>
  <c r="I28" i="15"/>
  <c r="H28" i="15"/>
  <c r="G28" i="15"/>
  <c r="F28" i="15"/>
  <c r="E28" i="15"/>
  <c r="D28" i="15"/>
  <c r="C28" i="15"/>
  <c r="I27" i="15"/>
  <c r="H27" i="15"/>
  <c r="G27" i="15"/>
  <c r="F27" i="15"/>
  <c r="E27" i="15"/>
  <c r="D27" i="15"/>
  <c r="C27" i="15"/>
  <c r="I26" i="15"/>
  <c r="B26" i="15"/>
  <c r="B25" i="15"/>
  <c r="B24" i="15"/>
  <c r="B23" i="15"/>
  <c r="C7" i="14"/>
  <c r="D7" i="14"/>
  <c r="E7" i="14"/>
  <c r="F7" i="14"/>
  <c r="G7" i="14"/>
  <c r="B13" i="14" s="1"/>
  <c r="B7" i="14"/>
  <c r="C6" i="13"/>
  <c r="D6" i="13"/>
  <c r="E6" i="13"/>
  <c r="F6" i="13"/>
  <c r="B6" i="13"/>
  <c r="I29" i="12"/>
  <c r="H29" i="12"/>
  <c r="G29" i="12"/>
  <c r="F29" i="12"/>
  <c r="E29" i="12"/>
  <c r="D29" i="12"/>
  <c r="C29" i="12"/>
  <c r="L28" i="12"/>
  <c r="I28" i="12"/>
  <c r="H28" i="12"/>
  <c r="G28" i="12"/>
  <c r="F28" i="12"/>
  <c r="E28" i="12"/>
  <c r="D28" i="12"/>
  <c r="C28" i="12"/>
  <c r="I20" i="12"/>
  <c r="I32" i="12" s="1"/>
  <c r="B20" i="12"/>
  <c r="B32" i="12" s="1"/>
  <c r="B19" i="12"/>
  <c r="B31" i="12" s="1"/>
  <c r="B18" i="12"/>
  <c r="B30" i="12" s="1"/>
  <c r="A18" i="12"/>
  <c r="A30" i="12" s="1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B4" i="12"/>
  <c r="H27" i="12" s="1"/>
  <c r="D15" i="12"/>
  <c r="F15" i="12"/>
  <c r="F21" i="12" s="1"/>
  <c r="E15" i="12"/>
  <c r="G15" i="12"/>
  <c r="I15" i="12"/>
  <c r="I21" i="12" s="1"/>
  <c r="E27" i="12"/>
  <c r="I27" i="12"/>
  <c r="I35" i="12"/>
  <c r="H15" i="12"/>
  <c r="D27" i="12"/>
  <c r="F27" i="12"/>
  <c r="F33" i="12"/>
  <c r="F42" i="12" s="1"/>
  <c r="F30" i="11"/>
  <c r="E30" i="11"/>
  <c r="D30" i="11"/>
  <c r="C30" i="11"/>
  <c r="F28" i="11"/>
  <c r="E28" i="11"/>
  <c r="D28" i="11"/>
  <c r="C28" i="11"/>
  <c r="B27" i="11"/>
  <c r="B31" i="11" s="1"/>
  <c r="F19" i="11"/>
  <c r="E19" i="11"/>
  <c r="D19" i="11"/>
  <c r="C19" i="11"/>
  <c r="F17" i="11"/>
  <c r="F18" i="11" s="1"/>
  <c r="E17" i="11"/>
  <c r="D17" i="11"/>
  <c r="C17" i="11"/>
  <c r="F16" i="11"/>
  <c r="B16" i="11"/>
  <c r="B20" i="11" s="1"/>
  <c r="A16" i="11"/>
  <c r="B10" i="11"/>
  <c r="E29" i="11"/>
  <c r="E31" i="11" s="1"/>
  <c r="E39" i="11" s="1"/>
  <c r="B20" i="9"/>
  <c r="C20" i="9"/>
  <c r="D20" i="9"/>
  <c r="E20" i="9"/>
  <c r="B9" i="8"/>
  <c r="C9" i="8"/>
  <c r="D9" i="8"/>
  <c r="B10" i="8"/>
  <c r="C10" i="8"/>
  <c r="D10" i="8"/>
  <c r="B11" i="7"/>
  <c r="G11" i="7"/>
  <c r="B12" i="7"/>
  <c r="G12" i="7"/>
  <c r="C13" i="7"/>
  <c r="D13" i="7"/>
  <c r="D16" i="7" s="1"/>
  <c r="E13" i="7"/>
  <c r="F13" i="7"/>
  <c r="G13" i="7"/>
  <c r="C14" i="7"/>
  <c r="D14" i="7"/>
  <c r="E14" i="7"/>
  <c r="F14" i="7"/>
  <c r="G14" i="7"/>
  <c r="C15" i="7"/>
  <c r="D15" i="7"/>
  <c r="E15" i="7"/>
  <c r="F15" i="7"/>
  <c r="G15" i="7"/>
  <c r="B9" i="6"/>
  <c r="B10" i="6"/>
  <c r="B11" i="6"/>
  <c r="C12" i="6"/>
  <c r="C13" i="6" s="1"/>
  <c r="D12" i="6"/>
  <c r="D13" i="6"/>
  <c r="E12" i="6"/>
  <c r="F12" i="6"/>
  <c r="F13" i="6" s="1"/>
  <c r="G12" i="6"/>
  <c r="G13" i="6" s="1"/>
  <c r="H12" i="6"/>
  <c r="H13" i="6"/>
  <c r="I12" i="6"/>
  <c r="I13" i="6" s="1"/>
  <c r="J12" i="6"/>
  <c r="J13" i="6" s="1"/>
  <c r="K12" i="6"/>
  <c r="K13" i="6" s="1"/>
  <c r="L12" i="6"/>
  <c r="L13" i="6" s="1"/>
  <c r="D8" i="5"/>
  <c r="F8" i="5"/>
  <c r="G8" i="5"/>
  <c r="H8" i="5"/>
  <c r="B8" i="5"/>
  <c r="C8" i="5"/>
  <c r="E8" i="5"/>
  <c r="B13" i="4"/>
  <c r="B18" i="4" s="1"/>
  <c r="D13" i="4"/>
  <c r="D18" i="4" s="1"/>
  <c r="C14" i="4"/>
  <c r="D14" i="4"/>
  <c r="E14" i="4"/>
  <c r="F14" i="4"/>
  <c r="C15" i="4"/>
  <c r="D15" i="4"/>
  <c r="E15" i="4"/>
  <c r="F15" i="4"/>
  <c r="D16" i="4"/>
  <c r="E16" i="4"/>
  <c r="F16" i="4"/>
  <c r="G16" i="4"/>
  <c r="D17" i="4"/>
  <c r="E17" i="4"/>
  <c r="F17" i="4"/>
  <c r="G17" i="4"/>
  <c r="C18" i="4"/>
  <c r="F2" i="1"/>
  <c r="G2" i="1"/>
  <c r="F3" i="1"/>
  <c r="F4" i="1" s="1"/>
  <c r="G3" i="1"/>
  <c r="B4" i="1"/>
  <c r="C4" i="1"/>
  <c r="D4" i="1"/>
  <c r="E4" i="1"/>
  <c r="B2" i="2"/>
  <c r="B3" i="2"/>
  <c r="B7" i="2" s="1"/>
  <c r="B4" i="2"/>
  <c r="B12" i="2"/>
  <c r="C12" i="2"/>
  <c r="C13" i="2" s="1"/>
  <c r="B13" i="2"/>
  <c r="C6" i="3"/>
  <c r="D6" i="3"/>
  <c r="E6" i="3"/>
  <c r="F6" i="3"/>
  <c r="C7" i="3"/>
  <c r="D7" i="3"/>
  <c r="E7" i="3"/>
  <c r="F7" i="3"/>
  <c r="C13" i="3"/>
  <c r="D13" i="3"/>
  <c r="E13" i="3"/>
  <c r="E14" i="3" s="1"/>
  <c r="E18" i="3" s="1"/>
  <c r="F13" i="3"/>
  <c r="C14" i="3"/>
  <c r="C18" i="3" s="1"/>
  <c r="D14" i="3"/>
  <c r="D18" i="3"/>
  <c r="F14" i="3"/>
  <c r="F18" i="3" s="1"/>
  <c r="B18" i="3"/>
  <c r="D24" i="3"/>
  <c r="D25" i="3"/>
  <c r="D26" i="3"/>
  <c r="D27" i="3"/>
  <c r="C18" i="11"/>
  <c r="C20" i="11"/>
  <c r="C40" i="11" s="1"/>
  <c r="E18" i="11"/>
  <c r="E20" i="11" s="1"/>
  <c r="E40" i="11" s="1"/>
  <c r="D29" i="11"/>
  <c r="F29" i="11"/>
  <c r="C29" i="11"/>
  <c r="C31" i="11"/>
  <c r="C39" i="11" s="1"/>
  <c r="F32" i="15" l="1"/>
  <c r="H32" i="15"/>
  <c r="C18" i="2"/>
  <c r="I32" i="15"/>
  <c r="B16" i="18"/>
  <c r="B18" i="2"/>
  <c r="E18" i="4"/>
  <c r="D31" i="11"/>
  <c r="D39" i="11" s="1"/>
  <c r="F16" i="7"/>
  <c r="G16" i="7"/>
  <c r="D18" i="11"/>
  <c r="D20" i="11" s="1"/>
  <c r="D40" i="11" s="1"/>
  <c r="D41" i="11" s="1"/>
  <c r="H21" i="12"/>
  <c r="B21" i="12"/>
  <c r="C15" i="12"/>
  <c r="C21" i="12" s="1"/>
  <c r="B10" i="13"/>
  <c r="B32" i="15"/>
  <c r="E41" i="11"/>
  <c r="D28" i="3"/>
  <c r="G4" i="1"/>
  <c r="C16" i="7"/>
  <c r="I33" i="12"/>
  <c r="G21" i="12"/>
  <c r="D21" i="12"/>
  <c r="B23" i="12" s="1"/>
  <c r="B8" i="13"/>
  <c r="E32" i="15"/>
  <c r="B40" i="15"/>
  <c r="B9" i="18"/>
  <c r="B12" i="18" s="1"/>
  <c r="F27" i="11"/>
  <c r="F31" i="11" s="1"/>
  <c r="F39" i="11" s="1"/>
  <c r="B11" i="14"/>
  <c r="G32" i="15"/>
  <c r="B20" i="3"/>
  <c r="C9" i="3"/>
  <c r="B13" i="6"/>
  <c r="E16" i="7"/>
  <c r="B16" i="7"/>
  <c r="B19" i="7" s="1"/>
  <c r="D33" i="12"/>
  <c r="D42" i="12" s="1"/>
  <c r="E33" i="12"/>
  <c r="E21" i="12"/>
  <c r="H33" i="12"/>
  <c r="G35" i="12" s="1"/>
  <c r="G37" i="12" s="1"/>
  <c r="B33" i="12"/>
  <c r="B42" i="12" s="1"/>
  <c r="C32" i="15"/>
  <c r="G18" i="4"/>
  <c r="F18" i="4"/>
  <c r="B20" i="4" s="1"/>
  <c r="C41" i="11"/>
  <c r="B10" i="5"/>
  <c r="B39" i="11"/>
  <c r="B15" i="6"/>
  <c r="B16" i="6"/>
  <c r="B40" i="11"/>
  <c r="B21" i="4"/>
  <c r="F20" i="11"/>
  <c r="F40" i="11" s="1"/>
  <c r="F41" i="11" s="1"/>
  <c r="I42" i="12"/>
  <c r="H35" i="12"/>
  <c r="H37" i="12" s="1"/>
  <c r="B34" i="15"/>
  <c r="E42" i="12"/>
  <c r="C27" i="12"/>
  <c r="C33" i="12" s="1"/>
  <c r="B9" i="13"/>
  <c r="B12" i="14"/>
  <c r="B8" i="19"/>
  <c r="B9" i="19" s="1"/>
  <c r="C9" i="19"/>
  <c r="G27" i="12"/>
  <c r="G33" i="12" s="1"/>
  <c r="H42" i="12" l="1"/>
  <c r="B18" i="7"/>
  <c r="B35" i="15"/>
  <c r="B42" i="15" s="1"/>
  <c r="B43" i="15" s="1"/>
  <c r="B41" i="11"/>
  <c r="B43" i="11" s="1"/>
  <c r="B33" i="11"/>
  <c r="B12" i="19"/>
  <c r="B24" i="12"/>
  <c r="C35" i="12"/>
  <c r="C37" i="12" s="1"/>
  <c r="D39" i="12" s="1"/>
  <c r="D44" i="12" s="1"/>
  <c r="D56" i="12" s="1"/>
  <c r="B34" i="11"/>
  <c r="F35" i="12"/>
  <c r="F37" i="12" s="1"/>
  <c r="G42" i="12"/>
  <c r="D35" i="12"/>
  <c r="D37" i="12" s="1"/>
  <c r="H38" i="12"/>
  <c r="H43" i="12" s="1"/>
  <c r="H55" i="12" s="1"/>
  <c r="I39" i="12"/>
  <c r="I44" i="12" s="1"/>
  <c r="I56" i="12" s="1"/>
  <c r="I38" i="12"/>
  <c r="I43" i="12" s="1"/>
  <c r="I55" i="12" s="1"/>
  <c r="B23" i="11"/>
  <c r="H39" i="12"/>
  <c r="H44" i="12" s="1"/>
  <c r="H56" i="12" s="1"/>
  <c r="G38" i="12"/>
  <c r="G43" i="12" s="1"/>
  <c r="G55" i="12" s="1"/>
  <c r="E35" i="12"/>
  <c r="E37" i="12" s="1"/>
  <c r="B22" i="11"/>
  <c r="B10" i="19"/>
  <c r="C42" i="12"/>
  <c r="B35" i="12"/>
  <c r="B37" i="12" s="1"/>
  <c r="C38" i="12" s="1"/>
  <c r="C43" i="12" s="1"/>
  <c r="C55" i="12" s="1"/>
  <c r="H45" i="12"/>
  <c r="I45" i="12" l="1"/>
  <c r="H57" i="12"/>
  <c r="G39" i="12"/>
  <c r="G44" i="12" s="1"/>
  <c r="G56" i="12" s="1"/>
  <c r="G57" i="12" s="1"/>
  <c r="F38" i="12"/>
  <c r="F43" i="12" s="1"/>
  <c r="E38" i="12"/>
  <c r="E43" i="12" s="1"/>
  <c r="F39" i="12"/>
  <c r="F44" i="12" s="1"/>
  <c r="F56" i="12" s="1"/>
  <c r="E39" i="12"/>
  <c r="E44" i="12" s="1"/>
  <c r="E56" i="12" s="1"/>
  <c r="D38" i="12"/>
  <c r="D43" i="12" s="1"/>
  <c r="B43" i="12"/>
  <c r="C39" i="12"/>
  <c r="C44" i="12" s="1"/>
  <c r="C56" i="12" s="1"/>
  <c r="C57" i="12" s="1"/>
  <c r="I57" i="12"/>
  <c r="E55" i="12" l="1"/>
  <c r="E57" i="12" s="1"/>
  <c r="E45" i="12"/>
  <c r="B54" i="12"/>
  <c r="B57" i="12" s="1"/>
  <c r="B45" i="12"/>
  <c r="C45" i="12"/>
  <c r="D55" i="12"/>
  <c r="D57" i="12" s="1"/>
  <c r="D45" i="12"/>
  <c r="G45" i="12"/>
  <c r="F55" i="12"/>
  <c r="F57" i="12" s="1"/>
  <c r="F45" i="12"/>
  <c r="B47" i="12" l="1"/>
  <c r="B48" i="12"/>
  <c r="B50" i="12" s="1"/>
  <c r="B59" i="12"/>
</calcChain>
</file>

<file path=xl/sharedStrings.xml><?xml version="1.0" encoding="utf-8"?>
<sst xmlns="http://schemas.openxmlformats.org/spreadsheetml/2006/main" count="337" uniqueCount="174">
  <si>
    <t>År</t>
  </si>
  <si>
    <t>Prosjekt 1</t>
  </si>
  <si>
    <t>Prosjekt 2</t>
  </si>
  <si>
    <t>Prosjekt 3</t>
  </si>
  <si>
    <t>Prosjekt 4</t>
  </si>
  <si>
    <t>Rente</t>
  </si>
  <si>
    <t>Nåverdi</t>
  </si>
  <si>
    <t>Prosjekt A</t>
  </si>
  <si>
    <t>Prosjekt B</t>
  </si>
  <si>
    <t>Prosjekt C</t>
  </si>
  <si>
    <t>Internrente</t>
  </si>
  <si>
    <t>Anleggsmidler</t>
  </si>
  <si>
    <t>Arbeidskapital</t>
  </si>
  <si>
    <t>Overnattinger</t>
  </si>
  <si>
    <t>Pris pr. overnatting</t>
  </si>
  <si>
    <t>Lønnskostnader</t>
  </si>
  <si>
    <t>Øvrige betalbare kostnader</t>
  </si>
  <si>
    <t>Restverdi</t>
  </si>
  <si>
    <t>Omsetning</t>
  </si>
  <si>
    <t>Kontantstrøm</t>
  </si>
  <si>
    <t>Sparte lønnskostnader</t>
  </si>
  <si>
    <t>Innbyttepris</t>
  </si>
  <si>
    <t>Ny maskin</t>
  </si>
  <si>
    <t>Installasjon</t>
  </si>
  <si>
    <t>Levetid</t>
  </si>
  <si>
    <t>Innbytte gammel</t>
  </si>
  <si>
    <t>Installering</t>
  </si>
  <si>
    <t>Leieinntekt</t>
  </si>
  <si>
    <t>Salgsverdi tomt og brakker</t>
  </si>
  <si>
    <t>Salgsverdi tomt</t>
  </si>
  <si>
    <t>Salg tomt og brakke</t>
  </si>
  <si>
    <t>Leieinntekter</t>
  </si>
  <si>
    <t>Salg tomt</t>
  </si>
  <si>
    <t>Salgspris</t>
  </si>
  <si>
    <t>Luksushytter fase 1</t>
  </si>
  <si>
    <t>Luksushytter fase 2</t>
  </si>
  <si>
    <t>Standardhytter fase 1</t>
  </si>
  <si>
    <t>Standardhytter fase 2</t>
  </si>
  <si>
    <t>Tomtekostnad</t>
  </si>
  <si>
    <t>Produksjonskostnad luksus</t>
  </si>
  <si>
    <t>Produksjonskostnad standard</t>
  </si>
  <si>
    <t>Salgsinntekter luksus</t>
  </si>
  <si>
    <t>Salgsinntekter standard</t>
  </si>
  <si>
    <t>Interente</t>
  </si>
  <si>
    <t>Alternativ A</t>
  </si>
  <si>
    <t>Alternativ B</t>
  </si>
  <si>
    <t>Alternativ A - B</t>
  </si>
  <si>
    <t>Rentekrav</t>
  </si>
  <si>
    <t xml:space="preserve">Rente </t>
  </si>
  <si>
    <t>Annuitetsfaktor 14 år</t>
  </si>
  <si>
    <t>Annuitetsfaktor 15 år</t>
  </si>
  <si>
    <t>Nåverdifaktor 15 år</t>
  </si>
  <si>
    <t>Årlige leieinntekter</t>
  </si>
  <si>
    <t>Nåverdi av utleie</t>
  </si>
  <si>
    <t>Produkt A</t>
  </si>
  <si>
    <t>Produkt B</t>
  </si>
  <si>
    <t>Salgsinnbetalinger</t>
  </si>
  <si>
    <t>Betalbare kostnader</t>
  </si>
  <si>
    <t>Kontantstrøm år 1 - 14</t>
  </si>
  <si>
    <t>Kontantstrøm år 15</t>
  </si>
  <si>
    <t>Investeringsutgift</t>
  </si>
  <si>
    <t>Avkastningskrav</t>
  </si>
  <si>
    <t>Mengde</t>
  </si>
  <si>
    <t>12 % royalty</t>
  </si>
  <si>
    <t>Nåverdi av lisensproduksjon</t>
  </si>
  <si>
    <t>Variabel kostnad</t>
  </si>
  <si>
    <t>Dekningsbidrag</t>
  </si>
  <si>
    <t>Økte faste kostnader</t>
  </si>
  <si>
    <t>Nåverdi egenproduksjon</t>
  </si>
  <si>
    <t>Justert salg</t>
  </si>
  <si>
    <t>Opprinnelig salg</t>
  </si>
  <si>
    <t>Endring</t>
  </si>
  <si>
    <t>Nåverdiendring ved reviderte anslag på salgspriser</t>
  </si>
  <si>
    <t>Betalbare faste kostnader</t>
  </si>
  <si>
    <t>Salgsinntekter</t>
  </si>
  <si>
    <t>Havblikk</t>
  </si>
  <si>
    <t>Inntekter</t>
  </si>
  <si>
    <t>Variable kostnader</t>
  </si>
  <si>
    <t>Betalbare faste</t>
  </si>
  <si>
    <t>Huldra</t>
  </si>
  <si>
    <t>Faste kostnader</t>
  </si>
  <si>
    <t>NPV</t>
  </si>
  <si>
    <t>Velger Huldra pga høyest NPV</t>
  </si>
  <si>
    <t>Huldra - Havblikk</t>
  </si>
  <si>
    <t>Råvarer</t>
  </si>
  <si>
    <t>Lønn</t>
  </si>
  <si>
    <t>Volum</t>
  </si>
  <si>
    <t>Maskiner og utstyr</t>
  </si>
  <si>
    <t>Markedsføring</t>
  </si>
  <si>
    <t>Lisens</t>
  </si>
  <si>
    <t>Gjeldsrente</t>
  </si>
  <si>
    <t>Egenkapital</t>
  </si>
  <si>
    <t>Total</t>
  </si>
  <si>
    <t>Gjeld</t>
  </si>
  <si>
    <t>Avdrag</t>
  </si>
  <si>
    <t>Prosjektets kontantstrøm</t>
  </si>
  <si>
    <t>Lån og avdrag</t>
  </si>
  <si>
    <t>Renter</t>
  </si>
  <si>
    <t>Kontantstrøm til egenkapitalen</t>
  </si>
  <si>
    <t>Utbetalt lån</t>
  </si>
  <si>
    <t>Kontantstrøm lån</t>
  </si>
  <si>
    <t>Modifisert internrente</t>
  </si>
  <si>
    <t>Nåverdi uendelig rekke</t>
  </si>
  <si>
    <t>Vekst</t>
  </si>
  <si>
    <t>Nåverdi uten salg</t>
  </si>
  <si>
    <t>Nåverdi vekst 2 %</t>
  </si>
  <si>
    <t>Maskiner</t>
  </si>
  <si>
    <t>Frakt</t>
  </si>
  <si>
    <t>Ombygging</t>
  </si>
  <si>
    <t>Vedlikehold 1 - 5</t>
  </si>
  <si>
    <t>Vedlikehold 6 - 7</t>
  </si>
  <si>
    <t>Salg år 1</t>
  </si>
  <si>
    <t>Salg år 2</t>
  </si>
  <si>
    <t>Salg år 3</t>
  </si>
  <si>
    <t>Salg år 4</t>
  </si>
  <si>
    <t>Salg år 5</t>
  </si>
  <si>
    <t>Salg år 6</t>
  </si>
  <si>
    <t>Salg år 7</t>
  </si>
  <si>
    <t>Pris</t>
  </si>
  <si>
    <t>Variable enh kostnader</t>
  </si>
  <si>
    <t>Tapt husleie</t>
  </si>
  <si>
    <t>Vedlikehold</t>
  </si>
  <si>
    <t>NV av 1 kr år 5</t>
  </si>
  <si>
    <t>NV av 1 kr år 6</t>
  </si>
  <si>
    <t>NV av 1 kr år 7</t>
  </si>
  <si>
    <t>NV av 1 kr i år 5, 6 og 7</t>
  </si>
  <si>
    <t>Nåverdi faller med</t>
  </si>
  <si>
    <t>og blir 0</t>
  </si>
  <si>
    <t>Hvis reklamekostnader er</t>
  </si>
  <si>
    <t>årlig i år 5, 6 og 7</t>
  </si>
  <si>
    <t>Obligasjon</t>
  </si>
  <si>
    <t>A</t>
  </si>
  <si>
    <t>B</t>
  </si>
  <si>
    <t>Pålydende</t>
  </si>
  <si>
    <t>Kupong</t>
  </si>
  <si>
    <t>Rentebetaling</t>
  </si>
  <si>
    <t>Forfall</t>
  </si>
  <si>
    <t>Kurs</t>
  </si>
  <si>
    <t>Avk krav</t>
  </si>
  <si>
    <t>B er mest utsatt for renterisiko pga. lengre tid til forfall</t>
  </si>
  <si>
    <t>YTM</t>
  </si>
  <si>
    <t>CF ved kjøp</t>
  </si>
  <si>
    <t>Yield</t>
  </si>
  <si>
    <t>Durasjon</t>
  </si>
  <si>
    <t>Kjøp Åsen</t>
  </si>
  <si>
    <t>Selg Lauritzen</t>
  </si>
  <si>
    <t>Økte inntekter</t>
  </si>
  <si>
    <t>Sponsorinntekt</t>
  </si>
  <si>
    <t>Lønn Åsen</t>
  </si>
  <si>
    <t>Lønn Lauritzen</t>
  </si>
  <si>
    <t>Selg Åsen</t>
  </si>
  <si>
    <t>Avastningskrav</t>
  </si>
  <si>
    <t>Oppgrader stadion</t>
  </si>
  <si>
    <t>Bilettinntekter</t>
  </si>
  <si>
    <t>Kontantstrøm stadion</t>
  </si>
  <si>
    <t>Kontantstrøm ny spiller</t>
  </si>
  <si>
    <t>Differanseinvestering</t>
  </si>
  <si>
    <t>Investering</t>
  </si>
  <si>
    <t>Kontantstrøm år 1</t>
  </si>
  <si>
    <t>Kontantstrøm år 2</t>
  </si>
  <si>
    <t>Kontantstrøm år 3</t>
  </si>
  <si>
    <t>Kontantstrøm år 4</t>
  </si>
  <si>
    <t>Kontantstrøm år 5</t>
  </si>
  <si>
    <t>Utrangering år 1</t>
  </si>
  <si>
    <t>Utrangering år 2</t>
  </si>
  <si>
    <t>Utrangering år 3</t>
  </si>
  <si>
    <t>Utrangering år 4</t>
  </si>
  <si>
    <t>Utrangering år 5</t>
  </si>
  <si>
    <t>Nåverdi-
annuitet</t>
  </si>
  <si>
    <t>Opp</t>
  </si>
  <si>
    <t>År 1</t>
  </si>
  <si>
    <t>År 2</t>
  </si>
  <si>
    <t>År 3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</si>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</sst>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164" formatCode="_ * #,##0.00_ ;_ * \-#,##0.00_ ;_ * &quot;-&quot;??_ ;_ @_ "/>
    <numFmt numFmtId="165" formatCode="0.0\ %"/>
    <numFmt numFmtId="166" formatCode="_ * #,##0_ ;_ * \-#,##0_ ;_ * &quot;-&quot;??_ ;_ @_ "/>
    <numFmt numFmtId="167" formatCode="#,##0.0000"/>
    <numFmt numFmtId="168" formatCode="_(* #,##0_);_(* \(#,##0\);_(* &quot;-&quot;??_);_(@_)"/>
    <numFmt numFmtId="169" formatCode="#,##0_ ;\-#,##0\ "/>
    <numFmt numFmtId="170" formatCode="0.0000\ %"/>
    <numFmt numFmtId="171" formatCode="#,##0.00_ ;[Red]\-#,##0.00\ 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0" fillId="2" borderId="1" xfId="0" applyFill="1" applyBorder="1"/>
    <xf numFmtId="9" fontId="0" fillId="2" borderId="1" xfId="0" applyNumberFormat="1" applyFill="1" applyBorder="1"/>
    <xf numFmtId="3" fontId="0" fillId="0" borderId="0" xfId="0" applyNumberFormat="1"/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3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3" fontId="0" fillId="2" borderId="4" xfId="0" applyNumberFormat="1" applyFill="1" applyBorder="1"/>
    <xf numFmtId="0" fontId="0" fillId="2" borderId="4" xfId="0" applyFill="1" applyBorder="1"/>
    <xf numFmtId="0" fontId="0" fillId="4" borderId="1" xfId="0" applyFill="1" applyBorder="1"/>
    <xf numFmtId="3" fontId="0" fillId="4" borderId="1" xfId="0" applyNumberFormat="1" applyFill="1" applyBorder="1"/>
    <xf numFmtId="0" fontId="0" fillId="4" borderId="4" xfId="0" applyFill="1" applyBorder="1"/>
    <xf numFmtId="0" fontId="0" fillId="4" borderId="3" xfId="0" applyFill="1" applyBorder="1"/>
    <xf numFmtId="3" fontId="0" fillId="4" borderId="3" xfId="0" applyNumberFormat="1" applyFill="1" applyBorder="1"/>
    <xf numFmtId="10" fontId="0" fillId="4" borderId="4" xfId="0" applyNumberFormat="1" applyFill="1" applyBorder="1"/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166" fontId="0" fillId="0" borderId="0" xfId="1" applyNumberFormat="1" applyFont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166" fontId="0" fillId="0" borderId="3" xfId="1" applyNumberFormat="1" applyFont="1" applyBorder="1"/>
    <xf numFmtId="0" fontId="0" fillId="3" borderId="9" xfId="0" applyFill="1" applyBorder="1"/>
    <xf numFmtId="3" fontId="0" fillId="4" borderId="4" xfId="0" applyNumberFormat="1" applyFill="1" applyBorder="1"/>
    <xf numFmtId="0" fontId="0" fillId="0" borderId="2" xfId="0" applyBorder="1"/>
    <xf numFmtId="0" fontId="0" fillId="5" borderId="2" xfId="0" applyFill="1" applyBorder="1"/>
    <xf numFmtId="0" fontId="0" fillId="5" borderId="4" xfId="0" applyFill="1" applyBorder="1"/>
    <xf numFmtId="0" fontId="0" fillId="2" borderId="2" xfId="0" applyFill="1" applyBorder="1"/>
    <xf numFmtId="9" fontId="0" fillId="2" borderId="4" xfId="0" applyNumberFormat="1" applyFill="1" applyBorder="1"/>
    <xf numFmtId="10" fontId="0" fillId="2" borderId="4" xfId="0" applyNumberFormat="1" applyFill="1" applyBorder="1"/>
    <xf numFmtId="0" fontId="0" fillId="0" borderId="10" xfId="0" applyBorder="1"/>
    <xf numFmtId="0" fontId="0" fillId="3" borderId="11" xfId="0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4" borderId="7" xfId="0" applyFill="1" applyBorder="1"/>
    <xf numFmtId="9" fontId="0" fillId="2" borderId="3" xfId="0" applyNumberFormat="1" applyFill="1" applyBorder="1"/>
    <xf numFmtId="9" fontId="0" fillId="2" borderId="4" xfId="2" applyNumberFormat="1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6" fontId="0" fillId="0" borderId="4" xfId="1" applyNumberFormat="1" applyFont="1" applyBorder="1"/>
    <xf numFmtId="166" fontId="0" fillId="0" borderId="2" xfId="1" applyNumberFormat="1" applyFont="1" applyBorder="1"/>
    <xf numFmtId="166" fontId="0" fillId="4" borderId="4" xfId="0" applyNumberFormat="1" applyFill="1" applyBorder="1"/>
    <xf numFmtId="9" fontId="0" fillId="2" borderId="4" xfId="2" applyFont="1" applyFill="1" applyBorder="1"/>
    <xf numFmtId="166" fontId="0" fillId="2" borderId="2" xfId="0" applyNumberFormat="1" applyFill="1" applyBorder="1"/>
    <xf numFmtId="0" fontId="0" fillId="4" borderId="9" xfId="0" applyFill="1" applyBorder="1"/>
    <xf numFmtId="10" fontId="0" fillId="4" borderId="1" xfId="2" applyNumberFormat="1" applyFont="1" applyFill="1" applyBorder="1"/>
    <xf numFmtId="166" fontId="0" fillId="4" borderId="2" xfId="1" applyNumberFormat="1" applyFont="1" applyFill="1" applyBorder="1"/>
    <xf numFmtId="166" fontId="0" fillId="4" borderId="4" xfId="1" applyNumberFormat="1" applyFont="1" applyFill="1" applyBorder="1"/>
    <xf numFmtId="3" fontId="0" fillId="0" borderId="10" xfId="0" applyNumberFormat="1" applyBorder="1"/>
    <xf numFmtId="3" fontId="0" fillId="0" borderId="7" xfId="0" applyNumberFormat="1" applyBorder="1"/>
    <xf numFmtId="10" fontId="0" fillId="4" borderId="12" xfId="0" applyNumberFormat="1" applyFill="1" applyBorder="1"/>
    <xf numFmtId="10" fontId="0" fillId="4" borderId="8" xfId="0" applyNumberFormat="1" applyFill="1" applyBorder="1"/>
    <xf numFmtId="0" fontId="0" fillId="5" borderId="1" xfId="0" applyFill="1" applyBorder="1"/>
    <xf numFmtId="0" fontId="0" fillId="2" borderId="10" xfId="0" applyFill="1" applyBorder="1"/>
    <xf numFmtId="9" fontId="0" fillId="2" borderId="2" xfId="0" applyNumberFormat="1" applyFill="1" applyBorder="1"/>
    <xf numFmtId="0" fontId="0" fillId="2" borderId="5" xfId="0" applyFill="1" applyBorder="1"/>
    <xf numFmtId="0" fontId="0" fillId="2" borderId="7" xfId="0" applyFill="1" applyBorder="1"/>
    <xf numFmtId="166" fontId="0" fillId="2" borderId="1" xfId="1" applyNumberFormat="1" applyFont="1" applyFill="1" applyBorder="1"/>
    <xf numFmtId="0" fontId="0" fillId="0" borderId="3" xfId="0" applyFill="1" applyBorder="1"/>
    <xf numFmtId="166" fontId="0" fillId="4" borderId="1" xfId="1" applyNumberFormat="1" applyFont="1" applyFill="1" applyBorder="1"/>
    <xf numFmtId="3" fontId="0" fillId="2" borderId="1" xfId="0" applyNumberFormat="1" applyFill="1" applyBorder="1"/>
    <xf numFmtId="166" fontId="0" fillId="4" borderId="1" xfId="0" applyNumberFormat="1" applyFill="1" applyBorder="1"/>
    <xf numFmtId="0" fontId="0" fillId="5" borderId="9" xfId="0" applyFill="1" applyBorder="1"/>
    <xf numFmtId="0" fontId="0" fillId="5" borderId="11" xfId="0" applyFill="1" applyBorder="1"/>
    <xf numFmtId="166" fontId="0" fillId="0" borderId="2" xfId="0" applyNumberFormat="1" applyBorder="1"/>
    <xf numFmtId="164" fontId="0" fillId="3" borderId="1" xfId="1" applyFont="1" applyFill="1" applyBorder="1"/>
    <xf numFmtId="164" fontId="0" fillId="3" borderId="1" xfId="1" applyFont="1" applyFill="1" applyBorder="1" applyAlignment="1">
      <alignment horizontal="center"/>
    </xf>
    <xf numFmtId="0" fontId="0" fillId="5" borderId="13" xfId="0" applyFill="1" applyBorder="1"/>
    <xf numFmtId="3" fontId="0" fillId="0" borderId="12" xfId="0" applyNumberFormat="1" applyBorder="1"/>
    <xf numFmtId="0" fontId="0" fillId="5" borderId="7" xfId="0" applyFill="1" applyBorder="1"/>
    <xf numFmtId="0" fontId="0" fillId="0" borderId="0" xfId="0" applyBorder="1"/>
    <xf numFmtId="0" fontId="0" fillId="0" borderId="14" xfId="0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9" fontId="0" fillId="0" borderId="0" xfId="0" applyNumberFormat="1"/>
    <xf numFmtId="0" fontId="0" fillId="5" borderId="0" xfId="0" applyFill="1"/>
    <xf numFmtId="0" fontId="0" fillId="5" borderId="0" xfId="0" applyFill="1" applyAlignment="1">
      <alignment horizontal="center"/>
    </xf>
    <xf numFmtId="3" fontId="0" fillId="0" borderId="14" xfId="0" applyNumberFormat="1" applyBorder="1"/>
    <xf numFmtId="3" fontId="0" fillId="3" borderId="0" xfId="0" applyNumberFormat="1" applyFill="1"/>
    <xf numFmtId="3" fontId="0" fillId="5" borderId="0" xfId="0" applyNumberFormat="1" applyFill="1"/>
    <xf numFmtId="3" fontId="0" fillId="2" borderId="0" xfId="0" applyNumberFormat="1" applyFill="1"/>
    <xf numFmtId="165" fontId="0" fillId="2" borderId="0" xfId="2" applyNumberFormat="1" applyFont="1" applyFill="1"/>
    <xf numFmtId="165" fontId="0" fillId="0" borderId="0" xfId="2" applyNumberFormat="1" applyFont="1"/>
    <xf numFmtId="0" fontId="0" fillId="6" borderId="0" xfId="0" applyFill="1" applyBorder="1"/>
    <xf numFmtId="3" fontId="0" fillId="6" borderId="0" xfId="0" applyNumberFormat="1" applyFill="1"/>
    <xf numFmtId="165" fontId="0" fillId="0" borderId="0" xfId="0" applyNumberFormat="1"/>
    <xf numFmtId="9" fontId="0" fillId="0" borderId="0" xfId="2" applyFont="1"/>
    <xf numFmtId="0" fontId="0" fillId="4" borderId="13" xfId="0" applyFill="1" applyBorder="1"/>
    <xf numFmtId="3" fontId="0" fillId="4" borderId="13" xfId="0" applyNumberFormat="1" applyFill="1" applyBorder="1"/>
    <xf numFmtId="10" fontId="0" fillId="0" borderId="0" xfId="2" applyNumberFormat="1" applyFont="1"/>
    <xf numFmtId="166" fontId="0" fillId="0" borderId="0" xfId="0" applyNumberFormat="1"/>
    <xf numFmtId="166" fontId="0" fillId="0" borderId="14" xfId="0" applyNumberFormat="1" applyBorder="1"/>
    <xf numFmtId="0" fontId="0" fillId="7" borderId="0" xfId="0" applyFill="1" applyBorder="1"/>
    <xf numFmtId="3" fontId="0" fillId="7" borderId="0" xfId="0" applyNumberFormat="1" applyFill="1"/>
    <xf numFmtId="10" fontId="0" fillId="0" borderId="0" xfId="0" applyNumberFormat="1"/>
    <xf numFmtId="166" fontId="0" fillId="0" borderId="14" xfId="1" applyNumberFormat="1" applyFont="1" applyBorder="1"/>
    <xf numFmtId="0" fontId="0" fillId="7" borderId="13" xfId="0" applyFill="1" applyBorder="1"/>
    <xf numFmtId="166" fontId="4" fillId="7" borderId="13" xfId="1" applyNumberFormat="1" applyFont="1" applyFill="1" applyBorder="1"/>
    <xf numFmtId="0" fontId="2" fillId="0" borderId="0" xfId="0" applyFont="1"/>
    <xf numFmtId="0" fontId="2" fillId="0" borderId="14" xfId="0" applyFont="1" applyBorder="1"/>
    <xf numFmtId="0" fontId="2" fillId="0" borderId="0" xfId="0" applyFont="1" applyFill="1" applyBorder="1"/>
    <xf numFmtId="0" fontId="2" fillId="8" borderId="0" xfId="0" applyFont="1" applyFill="1" applyBorder="1"/>
    <xf numFmtId="3" fontId="0" fillId="8" borderId="0" xfId="0" applyNumberFormat="1" applyFill="1"/>
    <xf numFmtId="0" fontId="2" fillId="10" borderId="2" xfId="0" applyFont="1" applyFill="1" applyBorder="1"/>
    <xf numFmtId="0" fontId="2" fillId="10" borderId="3" xfId="0" applyFont="1" applyFill="1" applyBorder="1"/>
    <xf numFmtId="0" fontId="2" fillId="10" borderId="4" xfId="0" applyFont="1" applyFill="1" applyBorder="1"/>
    <xf numFmtId="3" fontId="0" fillId="10" borderId="2" xfId="0" applyNumberFormat="1" applyFill="1" applyBorder="1"/>
    <xf numFmtId="165" fontId="0" fillId="10" borderId="3" xfId="0" applyNumberFormat="1" applyFill="1" applyBorder="1"/>
    <xf numFmtId="165" fontId="0" fillId="10" borderId="4" xfId="0" applyNumberFormat="1" applyFill="1" applyBorder="1"/>
    <xf numFmtId="0" fontId="2" fillId="8" borderId="13" xfId="0" applyFont="1" applyFill="1" applyBorder="1"/>
    <xf numFmtId="3" fontId="0" fillId="8" borderId="13" xfId="0" applyNumberFormat="1" applyFill="1" applyBorder="1"/>
    <xf numFmtId="3" fontId="0" fillId="0" borderId="0" xfId="0" applyNumberFormat="1" applyFill="1" applyBorder="1"/>
    <xf numFmtId="0" fontId="3" fillId="5" borderId="2" xfId="0" applyFont="1" applyFill="1" applyBorder="1"/>
    <xf numFmtId="3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7" fontId="0" fillId="0" borderId="0" xfId="0" applyNumberFormat="1" applyBorder="1"/>
    <xf numFmtId="0" fontId="3" fillId="0" borderId="0" xfId="0" applyFont="1" applyFill="1" applyBorder="1"/>
    <xf numFmtId="168" fontId="3" fillId="0" borderId="0" xfId="1" applyNumberFormat="1" applyFont="1" applyBorder="1"/>
    <xf numFmtId="3" fontId="3" fillId="0" borderId="0" xfId="0" applyNumberFormat="1" applyFont="1"/>
    <xf numFmtId="0" fontId="1" fillId="0" borderId="0" xfId="0" applyFont="1"/>
    <xf numFmtId="0" fontId="1" fillId="8" borderId="0" xfId="0" applyFont="1" applyFill="1"/>
    <xf numFmtId="0" fontId="1" fillId="8" borderId="0" xfId="0" applyFont="1" applyFill="1" applyAlignment="1">
      <alignment horizontal="center"/>
    </xf>
    <xf numFmtId="0" fontId="1" fillId="12" borderId="0" xfId="0" applyFont="1" applyFill="1"/>
    <xf numFmtId="0" fontId="1" fillId="9" borderId="0" xfId="0" applyFont="1" applyFill="1"/>
    <xf numFmtId="164" fontId="0" fillId="9" borderId="0" xfId="1" applyNumberFormat="1" applyFont="1" applyFill="1"/>
    <xf numFmtId="0" fontId="0" fillId="8" borderId="0" xfId="0" applyFill="1" applyAlignment="1">
      <alignment horizontal="center"/>
    </xf>
    <xf numFmtId="164" fontId="0" fillId="8" borderId="0" xfId="1" applyNumberFormat="1" applyFont="1" applyFill="1"/>
    <xf numFmtId="1" fontId="0" fillId="0" borderId="0" xfId="0" applyNumberFormat="1"/>
    <xf numFmtId="0" fontId="1" fillId="0" borderId="0" xfId="0" applyFont="1" applyFill="1"/>
    <xf numFmtId="164" fontId="0" fillId="0" borderId="0" xfId="1" applyFont="1" applyFill="1"/>
    <xf numFmtId="169" fontId="0" fillId="8" borderId="0" xfId="1" applyNumberFormat="1" applyFont="1" applyFill="1" applyAlignment="1">
      <alignment horizontal="center"/>
    </xf>
    <xf numFmtId="10" fontId="0" fillId="8" borderId="0" xfId="1" applyNumberFormat="1" applyFont="1" applyFill="1"/>
    <xf numFmtId="164" fontId="0" fillId="12" borderId="0" xfId="0" applyNumberFormat="1" applyFill="1"/>
    <xf numFmtId="3" fontId="0" fillId="13" borderId="2" xfId="0" applyNumberFormat="1" applyFill="1" applyBorder="1"/>
    <xf numFmtId="9" fontId="0" fillId="13" borderId="3" xfId="0" applyNumberFormat="1" applyFill="1" applyBorder="1"/>
    <xf numFmtId="3" fontId="0" fillId="13" borderId="3" xfId="0" applyNumberFormat="1" applyFill="1" applyBorder="1"/>
    <xf numFmtId="0" fontId="0" fillId="13" borderId="3" xfId="0" applyFill="1" applyBorder="1"/>
    <xf numFmtId="9" fontId="0" fillId="13" borderId="4" xfId="0" applyNumberFormat="1" applyFill="1" applyBorder="1"/>
    <xf numFmtId="0" fontId="0" fillId="14" borderId="2" xfId="0" applyFill="1" applyBorder="1"/>
    <xf numFmtId="0" fontId="0" fillId="14" borderId="3" xfId="0" applyFill="1" applyBorder="1"/>
    <xf numFmtId="0" fontId="0" fillId="14" borderId="4" xfId="0" applyFill="1" applyBorder="1"/>
    <xf numFmtId="0" fontId="0" fillId="5" borderId="14" xfId="0" applyFill="1" applyBorder="1"/>
    <xf numFmtId="3" fontId="0" fillId="5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5" fillId="8" borderId="0" xfId="0" applyFont="1" applyFill="1"/>
    <xf numFmtId="0" fontId="5" fillId="8" borderId="0" xfId="0" applyFont="1" applyFill="1" applyAlignment="1">
      <alignment horizontal="center"/>
    </xf>
    <xf numFmtId="0" fontId="0" fillId="13" borderId="0" xfId="0" applyFill="1" applyBorder="1"/>
    <xf numFmtId="3" fontId="0" fillId="13" borderId="0" xfId="0" applyNumberFormat="1" applyFill="1"/>
    <xf numFmtId="0" fontId="0" fillId="11" borderId="0" xfId="0" applyFill="1"/>
    <xf numFmtId="3" fontId="0" fillId="11" borderId="0" xfId="0" applyNumberFormat="1" applyFill="1"/>
    <xf numFmtId="10" fontId="0" fillId="11" borderId="0" xfId="2" applyNumberFormat="1" applyFont="1" applyFill="1"/>
    <xf numFmtId="0" fontId="0" fillId="0" borderId="14" xfId="0" quotePrefix="1" applyBorder="1"/>
    <xf numFmtId="0" fontId="0" fillId="13" borderId="0" xfId="0" applyFill="1"/>
    <xf numFmtId="0" fontId="0" fillId="0" borderId="13" xfId="0" applyFill="1" applyBorder="1"/>
    <xf numFmtId="166" fontId="0" fillId="0" borderId="13" xfId="0" applyNumberFormat="1" applyBorder="1"/>
    <xf numFmtId="0" fontId="0" fillId="14" borderId="0" xfId="0" applyFill="1"/>
    <xf numFmtId="0" fontId="0" fillId="14" borderId="0" xfId="0" applyFill="1" applyAlignment="1">
      <alignment horizontal="center"/>
    </xf>
    <xf numFmtId="0" fontId="2" fillId="14" borderId="2" xfId="0" applyFont="1" applyFill="1" applyBorder="1"/>
    <xf numFmtId="0" fontId="2" fillId="14" borderId="3" xfId="0" applyFont="1" applyFill="1" applyBorder="1"/>
    <xf numFmtId="0" fontId="2" fillId="14" borderId="4" xfId="0" applyFont="1" applyFill="1" applyBorder="1"/>
    <xf numFmtId="9" fontId="4" fillId="13" borderId="2" xfId="2" applyNumberFormat="1" applyFont="1" applyFill="1" applyBorder="1"/>
    <xf numFmtId="166" fontId="4" fillId="13" borderId="3" xfId="1" applyNumberFormat="1" applyFont="1" applyFill="1" applyBorder="1"/>
    <xf numFmtId="166" fontId="4" fillId="13" borderId="4" xfId="1" applyNumberFormat="1" applyFont="1" applyFill="1" applyBorder="1"/>
    <xf numFmtId="0" fontId="2" fillId="14" borderId="14" xfId="0" applyFont="1" applyFill="1" applyBorder="1"/>
    <xf numFmtId="0" fontId="0" fillId="14" borderId="14" xfId="0" applyFill="1" applyBorder="1" applyAlignment="1">
      <alignment horizontal="center"/>
    </xf>
    <xf numFmtId="9" fontId="0" fillId="13" borderId="4" xfId="2" applyFont="1" applyFill="1" applyBorder="1"/>
    <xf numFmtId="0" fontId="0" fillId="0" borderId="4" xfId="0" applyFill="1" applyBorder="1"/>
    <xf numFmtId="167" fontId="0" fillId="0" borderId="2" xfId="0" applyNumberFormat="1" applyBorder="1"/>
    <xf numFmtId="167" fontId="0" fillId="0" borderId="3" xfId="0" applyNumberFormat="1" applyBorder="1"/>
    <xf numFmtId="167" fontId="0" fillId="0" borderId="4" xfId="0" applyNumberFormat="1" applyBorder="1"/>
    <xf numFmtId="0" fontId="1" fillId="13" borderId="2" xfId="0" applyFont="1" applyFill="1" applyBorder="1"/>
    <xf numFmtId="0" fontId="1" fillId="13" borderId="4" xfId="0" applyFont="1" applyFill="1" applyBorder="1"/>
    <xf numFmtId="165" fontId="3" fillId="14" borderId="2" xfId="2" applyNumberFormat="1" applyFont="1" applyFill="1" applyBorder="1"/>
    <xf numFmtId="3" fontId="3" fillId="14" borderId="4" xfId="0" applyNumberFormat="1" applyFont="1" applyFill="1" applyBorder="1"/>
    <xf numFmtId="0" fontId="0" fillId="5" borderId="3" xfId="0" applyFill="1" applyBorder="1"/>
    <xf numFmtId="3" fontId="0" fillId="4" borderId="10" xfId="0" applyNumberFormat="1" applyFill="1" applyBorder="1"/>
    <xf numFmtId="3" fontId="0" fillId="4" borderId="5" xfId="0" applyNumberFormat="1" applyFill="1" applyBorder="1"/>
    <xf numFmtId="166" fontId="0" fillId="4" borderId="3" xfId="1" applyNumberFormat="1" applyFont="1" applyFill="1" applyBorder="1"/>
    <xf numFmtId="166" fontId="3" fillId="4" borderId="3" xfId="1" applyNumberFormat="1" applyFont="1" applyFill="1" applyBorder="1"/>
    <xf numFmtId="3" fontId="0" fillId="2" borderId="7" xfId="0" applyNumberFormat="1" applyFill="1" applyBorder="1"/>
    <xf numFmtId="3" fontId="3" fillId="4" borderId="7" xfId="0" applyNumberFormat="1" applyFont="1" applyFill="1" applyBorder="1"/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1" fillId="14" borderId="2" xfId="0" applyFont="1" applyFill="1" applyBorder="1" applyAlignment="1">
      <alignment horizontal="center" wrapText="1"/>
    </xf>
    <xf numFmtId="0" fontId="1" fillId="5" borderId="1" xfId="0" applyFont="1" applyFill="1" applyBorder="1"/>
    <xf numFmtId="0" fontId="3" fillId="14" borderId="14" xfId="0" applyFont="1" applyFill="1" applyBorder="1"/>
    <xf numFmtId="0" fontId="3" fillId="14" borderId="14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170" fontId="0" fillId="0" borderId="0" xfId="0" applyNumberFormat="1"/>
    <xf numFmtId="171" fontId="0" fillId="15" borderId="0" xfId="0" applyNumberFormat="1" applyFill="1"/>
    <xf numFmtId="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workbookViewId="0">
      <selection activeCell="F20" sqref="F20"/>
    </sheetView>
  </sheetViews>
  <sheetFormatPr defaultColWidth="11.453125" defaultRowHeight="12.5" x14ac:dyDescent="0.25"/>
  <sheetData>
    <row r="1" spans="1:5" x14ac:dyDescent="0.25">
      <c r="A1" s="1" t="s">
        <v>5</v>
      </c>
      <c r="B1" s="2">
        <v>0.15</v>
      </c>
    </row>
    <row r="3" spans="1: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25">
      <c r="A4" s="13">
        <v>0</v>
      </c>
      <c r="B4" s="14">
        <v>-300000</v>
      </c>
      <c r="C4" s="14">
        <v>-200000</v>
      </c>
      <c r="D4" s="14">
        <v>-320000</v>
      </c>
      <c r="E4" s="14">
        <v>-410000</v>
      </c>
    </row>
    <row r="5" spans="1:5" x14ac:dyDescent="0.25">
      <c r="A5" s="15">
        <v>1</v>
      </c>
      <c r="B5" s="16">
        <v>55000</v>
      </c>
      <c r="C5" s="16">
        <v>60000</v>
      </c>
      <c r="D5" s="16">
        <v>80000</v>
      </c>
      <c r="E5" s="16">
        <v>120000</v>
      </c>
    </row>
    <row r="6" spans="1:5" x14ac:dyDescent="0.25">
      <c r="A6" s="15">
        <v>2</v>
      </c>
      <c r="B6" s="16">
        <v>55000</v>
      </c>
      <c r="C6" s="16">
        <v>60000</v>
      </c>
      <c r="D6" s="16">
        <v>80000</v>
      </c>
      <c r="E6" s="16">
        <v>120000</v>
      </c>
    </row>
    <row r="7" spans="1:5" x14ac:dyDescent="0.25">
      <c r="A7" s="15">
        <v>3</v>
      </c>
      <c r="B7" s="16">
        <v>55000</v>
      </c>
      <c r="C7" s="16">
        <v>60000</v>
      </c>
      <c r="D7" s="16">
        <v>80000</v>
      </c>
      <c r="E7" s="16">
        <v>120000</v>
      </c>
    </row>
    <row r="8" spans="1:5" x14ac:dyDescent="0.25">
      <c r="A8" s="15">
        <v>4</v>
      </c>
      <c r="B8" s="16">
        <v>55000</v>
      </c>
      <c r="C8" s="16">
        <v>60000</v>
      </c>
      <c r="D8" s="16">
        <v>60000</v>
      </c>
      <c r="E8" s="16">
        <v>120000</v>
      </c>
    </row>
    <row r="9" spans="1:5" x14ac:dyDescent="0.25">
      <c r="A9" s="15">
        <v>5</v>
      </c>
      <c r="B9" s="16">
        <v>55000</v>
      </c>
      <c r="C9" s="16">
        <v>60000</v>
      </c>
      <c r="D9" s="16">
        <v>60000</v>
      </c>
      <c r="E9" s="16">
        <v>60000</v>
      </c>
    </row>
    <row r="10" spans="1:5" x14ac:dyDescent="0.25">
      <c r="A10" s="15">
        <v>6</v>
      </c>
      <c r="B10" s="16">
        <v>55000</v>
      </c>
      <c r="C10" s="17"/>
      <c r="D10" s="16">
        <v>70000</v>
      </c>
      <c r="E10" s="16">
        <v>60000</v>
      </c>
    </row>
    <row r="11" spans="1:5" x14ac:dyDescent="0.25">
      <c r="A11" s="15">
        <v>7</v>
      </c>
      <c r="B11" s="16">
        <v>55000</v>
      </c>
      <c r="C11" s="17"/>
      <c r="D11" s="17"/>
      <c r="E11" s="16">
        <v>60000</v>
      </c>
    </row>
    <row r="12" spans="1:5" x14ac:dyDescent="0.25">
      <c r="A12" s="15">
        <v>8</v>
      </c>
      <c r="B12" s="16">
        <v>55000</v>
      </c>
      <c r="C12" s="17"/>
      <c r="D12" s="17"/>
      <c r="E12" s="16">
        <v>60000</v>
      </c>
    </row>
    <row r="13" spans="1:5" x14ac:dyDescent="0.25">
      <c r="A13" s="15">
        <v>9</v>
      </c>
      <c r="B13" s="16">
        <v>55000</v>
      </c>
      <c r="C13" s="17"/>
      <c r="D13" s="17"/>
      <c r="E13" s="17"/>
    </row>
    <row r="14" spans="1:5" x14ac:dyDescent="0.25">
      <c r="A14" s="15">
        <v>10</v>
      </c>
      <c r="B14" s="16">
        <v>55000</v>
      </c>
      <c r="C14" s="17"/>
      <c r="D14" s="17"/>
      <c r="E14" s="17"/>
    </row>
    <row r="15" spans="1:5" x14ac:dyDescent="0.25">
      <c r="A15" s="15">
        <v>11</v>
      </c>
      <c r="B15" s="16">
        <v>55000</v>
      </c>
      <c r="C15" s="17"/>
      <c r="D15" s="17"/>
      <c r="E15" s="17"/>
    </row>
    <row r="16" spans="1:5" x14ac:dyDescent="0.25">
      <c r="A16" s="15">
        <v>12</v>
      </c>
      <c r="B16" s="16">
        <v>55000</v>
      </c>
      <c r="C16" s="17"/>
      <c r="D16" s="17"/>
      <c r="E16" s="17"/>
    </row>
    <row r="17" spans="1:6" x14ac:dyDescent="0.25">
      <c r="A17" s="15">
        <v>13</v>
      </c>
      <c r="B17" s="16">
        <v>55000</v>
      </c>
      <c r="C17" s="17"/>
      <c r="D17" s="17"/>
      <c r="E17" s="17"/>
    </row>
    <row r="18" spans="1:6" x14ac:dyDescent="0.25">
      <c r="A18" s="15">
        <v>14</v>
      </c>
      <c r="B18" s="16">
        <v>55000</v>
      </c>
      <c r="C18" s="17"/>
      <c r="D18" s="17"/>
      <c r="E18" s="17"/>
    </row>
    <row r="19" spans="1:6" x14ac:dyDescent="0.25">
      <c r="A19" s="18">
        <v>15</v>
      </c>
      <c r="B19" s="19">
        <v>55000</v>
      </c>
      <c r="C19" s="20"/>
      <c r="D19" s="20"/>
      <c r="E19" s="20"/>
    </row>
    <row r="20" spans="1:6" x14ac:dyDescent="0.25">
      <c r="A20" s="21" t="s">
        <v>6</v>
      </c>
      <c r="B20" s="22">
        <f>B4+NPV($B$1,B5:B19)</f>
        <v>21605.3554247102</v>
      </c>
      <c r="C20" s="22">
        <f>C4+NPV($B$1,C5:C19)</f>
        <v>1129.3058806841727</v>
      </c>
      <c r="D20" s="22">
        <f>D4+NPV($B$1,D5:D19)</f>
        <v>-42943.260063105321</v>
      </c>
      <c r="E20" s="22">
        <f>E4+NPV($B$1,E5:E19)</f>
        <v>30537.992224319896</v>
      </c>
      <c r="F20" s="3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9"/>
  <sheetViews>
    <sheetView topLeftCell="A13" workbookViewId="0">
      <selection activeCell="D45" sqref="D45"/>
    </sheetView>
  </sheetViews>
  <sheetFormatPr defaultColWidth="9.1796875" defaultRowHeight="12.5" x14ac:dyDescent="0.25"/>
  <cols>
    <col min="1" max="1" width="26.7265625" bestFit="1" customWidth="1"/>
    <col min="2" max="7" width="11.26953125" bestFit="1" customWidth="1"/>
    <col min="8" max="9" width="10.81640625" bestFit="1" customWidth="1"/>
    <col min="11" max="11" width="10.7265625" bestFit="1" customWidth="1"/>
  </cols>
  <sheetData>
    <row r="1" spans="1:9" x14ac:dyDescent="0.25">
      <c r="A1" t="s">
        <v>33</v>
      </c>
      <c r="B1">
        <v>110</v>
      </c>
    </row>
    <row r="2" spans="1:9" x14ac:dyDescent="0.25">
      <c r="A2" t="s">
        <v>84</v>
      </c>
      <c r="B2">
        <v>25</v>
      </c>
    </row>
    <row r="3" spans="1:9" x14ac:dyDescent="0.25">
      <c r="A3" s="84" t="s">
        <v>85</v>
      </c>
      <c r="B3" s="84">
        <v>25</v>
      </c>
    </row>
    <row r="4" spans="1:9" x14ac:dyDescent="0.25">
      <c r="A4" s="85" t="s">
        <v>66</v>
      </c>
      <c r="B4">
        <f>B1-B2-B3</f>
        <v>60</v>
      </c>
    </row>
    <row r="6" spans="1:9" x14ac:dyDescent="0.25">
      <c r="A6" t="s">
        <v>86</v>
      </c>
      <c r="B6" s="3">
        <v>139622</v>
      </c>
    </row>
    <row r="7" spans="1:9" x14ac:dyDescent="0.25">
      <c r="A7" t="s">
        <v>87</v>
      </c>
      <c r="B7" s="3">
        <v>24000000</v>
      </c>
    </row>
    <row r="8" spans="1:9" x14ac:dyDescent="0.25">
      <c r="A8" t="s">
        <v>12</v>
      </c>
      <c r="B8" s="3">
        <v>2300000</v>
      </c>
    </row>
    <row r="9" spans="1:9" x14ac:dyDescent="0.25">
      <c r="A9" t="s">
        <v>88</v>
      </c>
      <c r="B9" s="3">
        <v>750000</v>
      </c>
    </row>
    <row r="10" spans="1:9" x14ac:dyDescent="0.25">
      <c r="A10" t="s">
        <v>80</v>
      </c>
      <c r="B10" s="3">
        <v>1800000</v>
      </c>
    </row>
    <row r="11" spans="1:9" x14ac:dyDescent="0.25">
      <c r="A11" t="s">
        <v>89</v>
      </c>
      <c r="B11" s="3">
        <v>2500000</v>
      </c>
    </row>
    <row r="12" spans="1:9" x14ac:dyDescent="0.25">
      <c r="A12" t="s">
        <v>61</v>
      </c>
      <c r="B12" s="99">
        <v>0.1</v>
      </c>
    </row>
    <row r="14" spans="1:9" x14ac:dyDescent="0.25">
      <c r="A14" s="154" t="s">
        <v>0</v>
      </c>
      <c r="B14" s="155">
        <v>0</v>
      </c>
      <c r="C14" s="156">
        <v>1</v>
      </c>
      <c r="D14" s="156">
        <v>2</v>
      </c>
      <c r="E14" s="156">
        <v>3</v>
      </c>
      <c r="F14" s="156">
        <v>4</v>
      </c>
      <c r="G14" s="156">
        <v>5</v>
      </c>
      <c r="H14" s="156">
        <v>6</v>
      </c>
      <c r="I14" s="156">
        <v>7</v>
      </c>
    </row>
    <row r="15" spans="1:9" x14ac:dyDescent="0.25">
      <c r="A15" t="s">
        <v>66</v>
      </c>
      <c r="B15" s="3"/>
      <c r="C15" s="3">
        <f>$B$4*$B$6</f>
        <v>8377320</v>
      </c>
      <c r="D15" s="3">
        <f t="shared" ref="D15:I15" si="0">$B$4*$B$6</f>
        <v>8377320</v>
      </c>
      <c r="E15" s="3">
        <f t="shared" si="0"/>
        <v>8377320</v>
      </c>
      <c r="F15" s="3">
        <f t="shared" si="0"/>
        <v>8377320</v>
      </c>
      <c r="G15" s="3">
        <f t="shared" si="0"/>
        <v>8377320</v>
      </c>
      <c r="H15" s="3">
        <f t="shared" si="0"/>
        <v>8377320</v>
      </c>
      <c r="I15" s="3">
        <f t="shared" si="0"/>
        <v>8377320</v>
      </c>
    </row>
    <row r="16" spans="1:9" x14ac:dyDescent="0.25">
      <c r="A16" t="s">
        <v>88</v>
      </c>
      <c r="B16" s="3"/>
      <c r="C16" s="3">
        <f>-$B$9</f>
        <v>-750000</v>
      </c>
      <c r="D16" s="3">
        <f t="shared" ref="D16:I16" si="1">-$B$9</f>
        <v>-750000</v>
      </c>
      <c r="E16" s="3">
        <f t="shared" si="1"/>
        <v>-750000</v>
      </c>
      <c r="F16" s="3">
        <f t="shared" si="1"/>
        <v>-750000</v>
      </c>
      <c r="G16" s="3">
        <f t="shared" si="1"/>
        <v>-750000</v>
      </c>
      <c r="H16" s="3">
        <f t="shared" si="1"/>
        <v>-750000</v>
      </c>
      <c r="I16" s="3">
        <f t="shared" si="1"/>
        <v>-750000</v>
      </c>
    </row>
    <row r="17" spans="1:12" x14ac:dyDescent="0.25">
      <c r="A17" t="s">
        <v>80</v>
      </c>
      <c r="B17" s="3"/>
      <c r="C17" s="3">
        <f>-$B$10</f>
        <v>-1800000</v>
      </c>
      <c r="D17" s="3">
        <f t="shared" ref="D17:I17" si="2">-$B$10</f>
        <v>-1800000</v>
      </c>
      <c r="E17" s="3">
        <f t="shared" si="2"/>
        <v>-1800000</v>
      </c>
      <c r="F17" s="3">
        <f t="shared" si="2"/>
        <v>-1800000</v>
      </c>
      <c r="G17" s="3">
        <f t="shared" si="2"/>
        <v>-1800000</v>
      </c>
      <c r="H17" s="3">
        <f t="shared" si="2"/>
        <v>-1800000</v>
      </c>
      <c r="I17" s="3">
        <f t="shared" si="2"/>
        <v>-1800000</v>
      </c>
    </row>
    <row r="18" spans="1:12" x14ac:dyDescent="0.25">
      <c r="A18" t="str">
        <f>A7</f>
        <v>Maskiner og utstyr</v>
      </c>
      <c r="B18" s="3">
        <f>-B7</f>
        <v>-24000000</v>
      </c>
      <c r="C18" s="3"/>
      <c r="D18" s="3"/>
      <c r="E18" s="3"/>
      <c r="F18" s="3"/>
      <c r="G18" s="3"/>
      <c r="H18" s="3"/>
      <c r="I18" s="3"/>
    </row>
    <row r="19" spans="1:12" x14ac:dyDescent="0.25">
      <c r="A19" t="s">
        <v>89</v>
      </c>
      <c r="B19" s="3">
        <f>-B11</f>
        <v>-2500000</v>
      </c>
      <c r="C19" s="3"/>
      <c r="D19" s="3"/>
      <c r="E19" s="3"/>
      <c r="F19" s="3"/>
      <c r="G19" s="3"/>
      <c r="H19" s="3"/>
      <c r="I19" s="3"/>
    </row>
    <row r="20" spans="1:12" x14ac:dyDescent="0.25">
      <c r="A20" s="84" t="s">
        <v>12</v>
      </c>
      <c r="B20" s="90">
        <f>-B8</f>
        <v>-2300000</v>
      </c>
      <c r="C20" s="90"/>
      <c r="D20" s="90"/>
      <c r="E20" s="90"/>
      <c r="F20" s="90"/>
      <c r="G20" s="90"/>
      <c r="H20" s="90"/>
      <c r="I20" s="90">
        <f>B8</f>
        <v>2300000</v>
      </c>
    </row>
    <row r="21" spans="1:12" x14ac:dyDescent="0.25">
      <c r="A21" s="100" t="s">
        <v>19</v>
      </c>
      <c r="B21" s="101">
        <f>SUM(B15:B20)</f>
        <v>-28800000</v>
      </c>
      <c r="C21" s="101">
        <f t="shared" ref="C21:I21" si="3">SUM(C15:C20)</f>
        <v>5827320</v>
      </c>
      <c r="D21" s="101">
        <f t="shared" si="3"/>
        <v>5827320</v>
      </c>
      <c r="E21" s="101">
        <f t="shared" si="3"/>
        <v>5827320</v>
      </c>
      <c r="F21" s="101">
        <f t="shared" si="3"/>
        <v>5827320</v>
      </c>
      <c r="G21" s="101">
        <f t="shared" si="3"/>
        <v>5827320</v>
      </c>
      <c r="H21" s="101">
        <f t="shared" si="3"/>
        <v>5827320</v>
      </c>
      <c r="I21" s="101">
        <f t="shared" si="3"/>
        <v>8127320</v>
      </c>
    </row>
    <row r="22" spans="1:12" x14ac:dyDescent="0.25">
      <c r="B22" s="3"/>
      <c r="C22" s="3"/>
      <c r="D22" s="3"/>
      <c r="E22" s="3"/>
      <c r="F22" s="3"/>
      <c r="G22" s="3"/>
      <c r="H22" s="3"/>
      <c r="I22" s="3"/>
    </row>
    <row r="23" spans="1:12" x14ac:dyDescent="0.25">
      <c r="A23" t="s">
        <v>6</v>
      </c>
      <c r="B23" s="3">
        <f>NPV(B12,C21:I21)+B21</f>
        <v>750098.0166489929</v>
      </c>
      <c r="C23" s="3"/>
      <c r="D23" s="3"/>
      <c r="E23" s="3"/>
      <c r="F23" s="3"/>
      <c r="G23" s="3"/>
      <c r="H23" s="3"/>
      <c r="I23" s="3"/>
    </row>
    <row r="24" spans="1:12" x14ac:dyDescent="0.25">
      <c r="A24" t="s">
        <v>10</v>
      </c>
      <c r="B24" s="102">
        <f>IRR(B21:I21)</f>
        <v>0.10758391086917429</v>
      </c>
      <c r="C24" s="3"/>
      <c r="D24" s="3"/>
      <c r="E24" s="3"/>
      <c r="F24" s="3"/>
      <c r="G24" s="3"/>
      <c r="H24" s="3"/>
      <c r="I24" s="3"/>
    </row>
    <row r="26" spans="1:12" x14ac:dyDescent="0.25">
      <c r="A26" s="154" t="s">
        <v>0</v>
      </c>
      <c r="B26" s="155">
        <v>0</v>
      </c>
      <c r="C26" s="156">
        <v>1</v>
      </c>
      <c r="D26" s="156">
        <v>2</v>
      </c>
      <c r="E26" s="156">
        <v>3</v>
      </c>
      <c r="F26" s="156">
        <v>4</v>
      </c>
      <c r="G26" s="156">
        <v>5</v>
      </c>
      <c r="H26" s="156">
        <v>6</v>
      </c>
      <c r="I26" s="156">
        <v>7</v>
      </c>
      <c r="K26" t="s">
        <v>90</v>
      </c>
      <c r="L26" s="87">
        <v>0.08</v>
      </c>
    </row>
    <row r="27" spans="1:12" x14ac:dyDescent="0.25">
      <c r="A27" t="s">
        <v>66</v>
      </c>
      <c r="B27" s="3"/>
      <c r="C27" s="3">
        <f>$B$4*$B$6</f>
        <v>8377320</v>
      </c>
      <c r="D27" s="3">
        <f t="shared" ref="D27:I27" si="4">$B$4*$B$6</f>
        <v>8377320</v>
      </c>
      <c r="E27" s="3">
        <f t="shared" si="4"/>
        <v>8377320</v>
      </c>
      <c r="F27" s="3">
        <f t="shared" si="4"/>
        <v>8377320</v>
      </c>
      <c r="G27" s="3">
        <f t="shared" si="4"/>
        <v>8377320</v>
      </c>
      <c r="H27" s="3">
        <f t="shared" si="4"/>
        <v>8377320</v>
      </c>
      <c r="I27" s="3">
        <f t="shared" si="4"/>
        <v>8377320</v>
      </c>
      <c r="K27" t="s">
        <v>91</v>
      </c>
      <c r="L27" s="87">
        <v>0.12</v>
      </c>
    </row>
    <row r="28" spans="1:12" x14ac:dyDescent="0.25">
      <c r="A28" t="s">
        <v>88</v>
      </c>
      <c r="B28" s="3"/>
      <c r="C28" s="3">
        <f>-$B$9</f>
        <v>-750000</v>
      </c>
      <c r="D28" s="3">
        <f t="shared" ref="D28:I28" si="5">-$B$9</f>
        <v>-750000</v>
      </c>
      <c r="E28" s="3">
        <f t="shared" si="5"/>
        <v>-750000</v>
      </c>
      <c r="F28" s="3">
        <f t="shared" si="5"/>
        <v>-750000</v>
      </c>
      <c r="G28" s="3">
        <f t="shared" si="5"/>
        <v>-750000</v>
      </c>
      <c r="H28" s="3">
        <f t="shared" si="5"/>
        <v>-750000</v>
      </c>
      <c r="I28" s="3">
        <f t="shared" si="5"/>
        <v>-750000</v>
      </c>
      <c r="K28" t="s">
        <v>92</v>
      </c>
      <c r="L28" s="99">
        <f>L26*0.5+L27*0.5</f>
        <v>0.1</v>
      </c>
    </row>
    <row r="29" spans="1:12" x14ac:dyDescent="0.25">
      <c r="A29" t="s">
        <v>80</v>
      </c>
      <c r="B29" s="3"/>
      <c r="C29" s="3">
        <f>-$B$10</f>
        <v>-1800000</v>
      </c>
      <c r="D29" s="3">
        <f t="shared" ref="D29:I29" si="6">-$B$10</f>
        <v>-1800000</v>
      </c>
      <c r="E29" s="3">
        <f t="shared" si="6"/>
        <v>-1800000</v>
      </c>
      <c r="F29" s="3">
        <f t="shared" si="6"/>
        <v>-1800000</v>
      </c>
      <c r="G29" s="3">
        <f t="shared" si="6"/>
        <v>-1800000</v>
      </c>
      <c r="H29" s="3">
        <f t="shared" si="6"/>
        <v>-1800000</v>
      </c>
      <c r="I29" s="3">
        <f t="shared" si="6"/>
        <v>-1800000</v>
      </c>
    </row>
    <row r="30" spans="1:12" x14ac:dyDescent="0.25">
      <c r="A30" t="str">
        <f>A18</f>
        <v>Maskiner og utstyr</v>
      </c>
      <c r="B30" s="3">
        <f>B18</f>
        <v>-24000000</v>
      </c>
      <c r="C30" s="3"/>
      <c r="D30" s="3"/>
      <c r="E30" s="3"/>
      <c r="F30" s="3"/>
      <c r="G30" s="3"/>
      <c r="H30" s="3"/>
      <c r="I30" s="3"/>
    </row>
    <row r="31" spans="1:12" x14ac:dyDescent="0.25">
      <c r="A31" t="s">
        <v>89</v>
      </c>
      <c r="B31" s="3">
        <f>B19</f>
        <v>-2500000</v>
      </c>
      <c r="C31" s="3"/>
      <c r="D31" s="3"/>
      <c r="E31" s="3"/>
      <c r="F31" s="3"/>
      <c r="G31" s="3"/>
      <c r="H31" s="3"/>
      <c r="I31" s="3"/>
    </row>
    <row r="32" spans="1:12" x14ac:dyDescent="0.25">
      <c r="A32" s="84" t="s">
        <v>12</v>
      </c>
      <c r="B32" s="90">
        <f>B20</f>
        <v>-2300000</v>
      </c>
      <c r="C32" s="90"/>
      <c r="D32" s="90"/>
      <c r="E32" s="90"/>
      <c r="F32" s="90"/>
      <c r="G32" s="90"/>
      <c r="H32" s="90"/>
      <c r="I32" s="90">
        <f>I20</f>
        <v>2300000</v>
      </c>
    </row>
    <row r="33" spans="1:9" x14ac:dyDescent="0.25">
      <c r="A33" s="100" t="s">
        <v>19</v>
      </c>
      <c r="B33" s="101">
        <f>SUM(B27:B32)</f>
        <v>-28800000</v>
      </c>
      <c r="C33" s="101">
        <f t="shared" ref="C33:I33" si="7">SUM(C27:C32)</f>
        <v>5827320</v>
      </c>
      <c r="D33" s="101">
        <f t="shared" si="7"/>
        <v>5827320</v>
      </c>
      <c r="E33" s="101">
        <f t="shared" si="7"/>
        <v>5827320</v>
      </c>
      <c r="F33" s="101">
        <f t="shared" si="7"/>
        <v>5827320</v>
      </c>
      <c r="G33" s="101">
        <f t="shared" si="7"/>
        <v>5827320</v>
      </c>
      <c r="H33" s="101">
        <f t="shared" si="7"/>
        <v>5827320</v>
      </c>
      <c r="I33" s="101">
        <f t="shared" si="7"/>
        <v>8127320</v>
      </c>
    </row>
    <row r="35" spans="1:9" x14ac:dyDescent="0.25">
      <c r="A35" t="s">
        <v>6</v>
      </c>
      <c r="B35" s="29">
        <f t="shared" ref="B35:I35" si="8">NPV($L$28,C33:I33)</f>
        <v>29550098.016648993</v>
      </c>
      <c r="C35" s="29">
        <f t="shared" si="8"/>
        <v>26677787.818313897</v>
      </c>
      <c r="D35" s="29">
        <f t="shared" si="8"/>
        <v>23518246.600145288</v>
      </c>
      <c r="E35" s="29">
        <f t="shared" si="8"/>
        <v>20042751.26015982</v>
      </c>
      <c r="F35" s="29">
        <f t="shared" si="8"/>
        <v>16219706.386175804</v>
      </c>
      <c r="G35" s="29">
        <f t="shared" si="8"/>
        <v>12014357.024793386</v>
      </c>
      <c r="H35" s="29">
        <f t="shared" si="8"/>
        <v>7388472.7272727266</v>
      </c>
      <c r="I35" s="29">
        <f t="shared" si="8"/>
        <v>0</v>
      </c>
    </row>
    <row r="37" spans="1:9" x14ac:dyDescent="0.25">
      <c r="A37" t="s">
        <v>93</v>
      </c>
      <c r="B37" s="103">
        <f>B35*0.5</f>
        <v>14775049.008324496</v>
      </c>
      <c r="C37" s="103">
        <f t="shared" ref="C37:H37" si="9">C35*0.5</f>
        <v>13338893.909156948</v>
      </c>
      <c r="D37" s="103">
        <f t="shared" si="9"/>
        <v>11759123.300072644</v>
      </c>
      <c r="E37" s="103">
        <f t="shared" si="9"/>
        <v>10021375.63007991</v>
      </c>
      <c r="F37" s="103">
        <f t="shared" si="9"/>
        <v>8109853.1930879019</v>
      </c>
      <c r="G37" s="103">
        <f t="shared" si="9"/>
        <v>6007178.5123966932</v>
      </c>
      <c r="H37" s="103">
        <f t="shared" si="9"/>
        <v>3694236.3636363633</v>
      </c>
    </row>
    <row r="38" spans="1:9" x14ac:dyDescent="0.25">
      <c r="A38" t="s">
        <v>94</v>
      </c>
      <c r="C38" s="103">
        <f>C37-B37</f>
        <v>-1436155.0991675481</v>
      </c>
      <c r="D38" s="103">
        <f t="shared" ref="D38:I38" si="10">D37-C37</f>
        <v>-1579770.6090843044</v>
      </c>
      <c r="E38" s="103">
        <f t="shared" si="10"/>
        <v>-1737747.6699927337</v>
      </c>
      <c r="F38" s="103">
        <f t="shared" si="10"/>
        <v>-1911522.4369920082</v>
      </c>
      <c r="G38" s="103">
        <f t="shared" si="10"/>
        <v>-2102674.6806912087</v>
      </c>
      <c r="H38" s="103">
        <f t="shared" si="10"/>
        <v>-2312942.1487603299</v>
      </c>
      <c r="I38" s="103">
        <f t="shared" si="10"/>
        <v>-3694236.3636363633</v>
      </c>
    </row>
    <row r="39" spans="1:9" x14ac:dyDescent="0.25">
      <c r="A39" t="s">
        <v>5</v>
      </c>
      <c r="C39" s="103">
        <f>-$L$26*B37</f>
        <v>-1182003.9206659598</v>
      </c>
      <c r="D39" s="103">
        <f t="shared" ref="D39:I39" si="11">-$L$26*C37</f>
        <v>-1067111.5127325559</v>
      </c>
      <c r="E39" s="103">
        <f t="shared" si="11"/>
        <v>-940729.86400581151</v>
      </c>
      <c r="F39" s="103">
        <f t="shared" si="11"/>
        <v>-801710.05040639278</v>
      </c>
      <c r="G39" s="103">
        <f t="shared" si="11"/>
        <v>-648788.25544703216</v>
      </c>
      <c r="H39" s="103">
        <f t="shared" si="11"/>
        <v>-480574.28099173546</v>
      </c>
      <c r="I39" s="103">
        <f t="shared" si="11"/>
        <v>-295538.90909090906</v>
      </c>
    </row>
    <row r="41" spans="1:9" x14ac:dyDescent="0.25">
      <c r="A41" s="154" t="s">
        <v>0</v>
      </c>
      <c r="B41" s="155">
        <v>0</v>
      </c>
      <c r="C41" s="156">
        <v>1</v>
      </c>
      <c r="D41" s="156">
        <v>2</v>
      </c>
      <c r="E41" s="156">
        <v>3</v>
      </c>
      <c r="F41" s="156">
        <v>4</v>
      </c>
      <c r="G41" s="156">
        <v>5</v>
      </c>
      <c r="H41" s="156">
        <v>6</v>
      </c>
      <c r="I41" s="156">
        <v>7</v>
      </c>
    </row>
    <row r="42" spans="1:9" x14ac:dyDescent="0.25">
      <c r="A42" t="s">
        <v>95</v>
      </c>
      <c r="B42" s="3">
        <f>B33</f>
        <v>-28800000</v>
      </c>
      <c r="C42" s="3">
        <f t="shared" ref="C42:I42" si="12">C33</f>
        <v>5827320</v>
      </c>
      <c r="D42" s="3">
        <f t="shared" si="12"/>
        <v>5827320</v>
      </c>
      <c r="E42" s="3">
        <f t="shared" si="12"/>
        <v>5827320</v>
      </c>
      <c r="F42" s="3">
        <f t="shared" si="12"/>
        <v>5827320</v>
      </c>
      <c r="G42" s="3">
        <f t="shared" si="12"/>
        <v>5827320</v>
      </c>
      <c r="H42" s="3">
        <f t="shared" si="12"/>
        <v>5827320</v>
      </c>
      <c r="I42" s="3">
        <f t="shared" si="12"/>
        <v>8127320</v>
      </c>
    </row>
    <row r="43" spans="1:9" x14ac:dyDescent="0.25">
      <c r="A43" t="s">
        <v>96</v>
      </c>
      <c r="B43" s="103">
        <f>B37</f>
        <v>14775049.008324496</v>
      </c>
      <c r="C43" s="103">
        <f>C38</f>
        <v>-1436155.0991675481</v>
      </c>
      <c r="D43" s="103">
        <f t="shared" ref="D43:I44" si="13">D38</f>
        <v>-1579770.6090843044</v>
      </c>
      <c r="E43" s="103">
        <f t="shared" si="13"/>
        <v>-1737747.6699927337</v>
      </c>
      <c r="F43" s="103">
        <f t="shared" si="13"/>
        <v>-1911522.4369920082</v>
      </c>
      <c r="G43" s="103">
        <f t="shared" si="13"/>
        <v>-2102674.6806912087</v>
      </c>
      <c r="H43" s="103">
        <f t="shared" si="13"/>
        <v>-2312942.1487603299</v>
      </c>
      <c r="I43" s="103">
        <f t="shared" si="13"/>
        <v>-3694236.3636363633</v>
      </c>
    </row>
    <row r="44" spans="1:9" x14ac:dyDescent="0.25">
      <c r="A44" s="84" t="s">
        <v>97</v>
      </c>
      <c r="B44" s="84"/>
      <c r="C44" s="104">
        <f>C39</f>
        <v>-1182003.9206659598</v>
      </c>
      <c r="D44" s="104">
        <f t="shared" si="13"/>
        <v>-1067111.5127325559</v>
      </c>
      <c r="E44" s="104">
        <f t="shared" si="13"/>
        <v>-940729.86400581151</v>
      </c>
      <c r="F44" s="104">
        <f t="shared" si="13"/>
        <v>-801710.05040639278</v>
      </c>
      <c r="G44" s="104">
        <f t="shared" si="13"/>
        <v>-648788.25544703216</v>
      </c>
      <c r="H44" s="104">
        <f t="shared" si="13"/>
        <v>-480574.28099173546</v>
      </c>
      <c r="I44" s="104">
        <f t="shared" si="13"/>
        <v>-295538.90909090906</v>
      </c>
    </row>
    <row r="45" spans="1:9" x14ac:dyDescent="0.25">
      <c r="A45" s="105" t="s">
        <v>98</v>
      </c>
      <c r="B45" s="106">
        <f>SUM(B42:B44)</f>
        <v>-14024950.991675504</v>
      </c>
      <c r="C45" s="106">
        <f t="shared" ref="C45:I45" si="14">SUM(C42:C44)</f>
        <v>3209160.9801664921</v>
      </c>
      <c r="D45" s="106">
        <f t="shared" si="14"/>
        <v>3180437.8781831395</v>
      </c>
      <c r="E45" s="106">
        <f t="shared" si="14"/>
        <v>3148842.4660014547</v>
      </c>
      <c r="F45" s="106">
        <f t="shared" si="14"/>
        <v>3114087.5126015991</v>
      </c>
      <c r="G45" s="106">
        <f t="shared" si="14"/>
        <v>3075857.0638617594</v>
      </c>
      <c r="H45" s="106">
        <f t="shared" si="14"/>
        <v>3033803.5702479347</v>
      </c>
      <c r="I45" s="106">
        <f t="shared" si="14"/>
        <v>4137544.7272727275</v>
      </c>
    </row>
    <row r="47" spans="1:9" x14ac:dyDescent="0.25">
      <c r="A47" t="s">
        <v>6</v>
      </c>
      <c r="B47" s="3">
        <f>NPV(L27,C45:I45)+B45</f>
        <v>750098.01664900035</v>
      </c>
    </row>
    <row r="48" spans="1:9" x14ac:dyDescent="0.25">
      <c r="A48" t="s">
        <v>10</v>
      </c>
      <c r="B48" s="107">
        <f>IRR(B45:I45)</f>
        <v>0.13632836265040926</v>
      </c>
    </row>
    <row r="50" spans="1:9" x14ac:dyDescent="0.25">
      <c r="A50" t="s">
        <v>91</v>
      </c>
      <c r="B50" s="107">
        <f>B24+(B48-B24)</f>
        <v>0.13632836265040926</v>
      </c>
    </row>
    <row r="53" spans="1:9" x14ac:dyDescent="0.25">
      <c r="A53" s="154" t="s">
        <v>0</v>
      </c>
      <c r="B53" s="155">
        <v>0</v>
      </c>
      <c r="C53" s="156">
        <v>1</v>
      </c>
      <c r="D53" s="156">
        <v>2</v>
      </c>
      <c r="E53" s="156">
        <v>3</v>
      </c>
      <c r="F53" s="156">
        <v>4</v>
      </c>
      <c r="G53" s="156">
        <v>5</v>
      </c>
      <c r="H53" s="156">
        <v>6</v>
      </c>
      <c r="I53" s="156">
        <v>7</v>
      </c>
    </row>
    <row r="54" spans="1:9" x14ac:dyDescent="0.25">
      <c r="A54" t="s">
        <v>99</v>
      </c>
      <c r="B54" s="29">
        <f>B43</f>
        <v>14775049.008324496</v>
      </c>
      <c r="C54" s="29"/>
      <c r="D54" s="29"/>
      <c r="E54" s="29"/>
      <c r="F54" s="29"/>
      <c r="G54" s="29"/>
      <c r="H54" s="29"/>
      <c r="I54" s="29"/>
    </row>
    <row r="55" spans="1:9" x14ac:dyDescent="0.25">
      <c r="A55" t="s">
        <v>94</v>
      </c>
      <c r="B55" s="29"/>
      <c r="C55" s="29">
        <f>C43</f>
        <v>-1436155.0991675481</v>
      </c>
      <c r="D55" s="29">
        <f t="shared" ref="D55:I56" si="15">D43</f>
        <v>-1579770.6090843044</v>
      </c>
      <c r="E55" s="29">
        <f t="shared" si="15"/>
        <v>-1737747.6699927337</v>
      </c>
      <c r="F55" s="29">
        <f t="shared" si="15"/>
        <v>-1911522.4369920082</v>
      </c>
      <c r="G55" s="29">
        <f t="shared" si="15"/>
        <v>-2102674.6806912087</v>
      </c>
      <c r="H55" s="29">
        <f t="shared" si="15"/>
        <v>-2312942.1487603299</v>
      </c>
      <c r="I55" s="29">
        <f t="shared" si="15"/>
        <v>-3694236.3636363633</v>
      </c>
    </row>
    <row r="56" spans="1:9" x14ac:dyDescent="0.25">
      <c r="A56" s="84" t="s">
        <v>97</v>
      </c>
      <c r="B56" s="108"/>
      <c r="C56" s="108">
        <f>C44</f>
        <v>-1182003.9206659598</v>
      </c>
      <c r="D56" s="108">
        <f t="shared" si="15"/>
        <v>-1067111.5127325559</v>
      </c>
      <c r="E56" s="108">
        <f t="shared" si="15"/>
        <v>-940729.86400581151</v>
      </c>
      <c r="F56" s="108">
        <f t="shared" si="15"/>
        <v>-801710.05040639278</v>
      </c>
      <c r="G56" s="108">
        <f t="shared" si="15"/>
        <v>-648788.25544703216</v>
      </c>
      <c r="H56" s="108">
        <f t="shared" si="15"/>
        <v>-480574.28099173546</v>
      </c>
      <c r="I56" s="108">
        <f t="shared" si="15"/>
        <v>-295538.90909090906</v>
      </c>
    </row>
    <row r="57" spans="1:9" x14ac:dyDescent="0.25">
      <c r="A57" s="109" t="s">
        <v>100</v>
      </c>
      <c r="B57" s="110">
        <f t="shared" ref="B57:I57" si="16">SUM(B54:B56)</f>
        <v>14775049.008324496</v>
      </c>
      <c r="C57" s="110">
        <f t="shared" si="16"/>
        <v>-2618159.0198335079</v>
      </c>
      <c r="D57" s="110">
        <f t="shared" si="16"/>
        <v>-2646882.1218168605</v>
      </c>
      <c r="E57" s="110">
        <f t="shared" si="16"/>
        <v>-2678477.5339985453</v>
      </c>
      <c r="F57" s="110">
        <f t="shared" si="16"/>
        <v>-2713232.4873984009</v>
      </c>
      <c r="G57" s="110">
        <f t="shared" si="16"/>
        <v>-2751462.9361382406</v>
      </c>
      <c r="H57" s="110">
        <f t="shared" si="16"/>
        <v>-2793516.4297520653</v>
      </c>
      <c r="I57" s="110">
        <f t="shared" si="16"/>
        <v>-3989775.2727272725</v>
      </c>
    </row>
    <row r="59" spans="1:9" x14ac:dyDescent="0.25">
      <c r="A59" t="s">
        <v>6</v>
      </c>
      <c r="B59" s="103">
        <f>NPV(L26,C57:I57)+B57</f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workbookViewId="0">
      <selection activeCell="D38" sqref="D38"/>
    </sheetView>
  </sheetViews>
  <sheetFormatPr defaultColWidth="11.453125" defaultRowHeight="12.5" x14ac:dyDescent="0.25"/>
  <cols>
    <col min="1" max="1" width="20.7265625" bestFit="1" customWidth="1"/>
    <col min="2" max="2" width="11.453125" customWidth="1"/>
    <col min="3" max="3" width="15.453125" bestFit="1" customWidth="1"/>
  </cols>
  <sheetData>
    <row r="1" spans="1:6" x14ac:dyDescent="0.25">
      <c r="A1" s="1" t="s">
        <v>61</v>
      </c>
      <c r="B1" s="2">
        <v>0.13</v>
      </c>
    </row>
    <row r="3" spans="1:6" x14ac:dyDescent="0.25">
      <c r="C3" s="51">
        <v>2016</v>
      </c>
      <c r="D3" s="51">
        <v>2017</v>
      </c>
      <c r="E3" s="51">
        <v>2018</v>
      </c>
      <c r="F3" s="51">
        <v>2019</v>
      </c>
    </row>
    <row r="4" spans="1:6" x14ac:dyDescent="0.25">
      <c r="A4" s="43" t="s">
        <v>33</v>
      </c>
      <c r="B4" s="43"/>
      <c r="C4" s="37">
        <v>130</v>
      </c>
      <c r="D4" s="37">
        <v>120</v>
      </c>
      <c r="E4" s="37">
        <v>120</v>
      </c>
      <c r="F4" s="37">
        <v>100</v>
      </c>
    </row>
    <row r="5" spans="1:6" x14ac:dyDescent="0.25">
      <c r="A5" s="32" t="s">
        <v>62</v>
      </c>
      <c r="B5" s="32"/>
      <c r="C5" s="10">
        <v>100000</v>
      </c>
      <c r="D5" s="10">
        <v>120000</v>
      </c>
      <c r="E5" s="10">
        <v>120000</v>
      </c>
      <c r="F5" s="10">
        <v>110000</v>
      </c>
    </row>
    <row r="6" spans="1:6" x14ac:dyDescent="0.25">
      <c r="A6" s="37" t="s">
        <v>18</v>
      </c>
      <c r="B6" s="37"/>
      <c r="C6" s="53">
        <f>C4*C5</f>
        <v>13000000</v>
      </c>
      <c r="D6" s="53">
        <f>D4*D5</f>
        <v>14400000</v>
      </c>
      <c r="E6" s="53">
        <f>E4*E5</f>
        <v>14400000</v>
      </c>
      <c r="F6" s="53">
        <f>F4*F5</f>
        <v>11000000</v>
      </c>
    </row>
    <row r="7" spans="1:6" x14ac:dyDescent="0.25">
      <c r="A7" s="21" t="s">
        <v>63</v>
      </c>
      <c r="B7" s="21"/>
      <c r="C7" s="74">
        <f>C6*0.12</f>
        <v>1560000</v>
      </c>
      <c r="D7" s="74">
        <f>D6*0.12</f>
        <v>1728000</v>
      </c>
      <c r="E7" s="74">
        <f>E6*0.12</f>
        <v>1728000</v>
      </c>
      <c r="F7" s="74">
        <f>F6*0.12</f>
        <v>1320000</v>
      </c>
    </row>
    <row r="9" spans="1:6" x14ac:dyDescent="0.25">
      <c r="A9" s="75" t="s">
        <v>64</v>
      </c>
      <c r="B9" s="76"/>
      <c r="C9" s="70">
        <f>NPV($B$1,C7:F7)</f>
        <v>4740979.8432738828</v>
      </c>
    </row>
    <row r="11" spans="1:6" x14ac:dyDescent="0.25">
      <c r="B11" s="4">
        <v>2015</v>
      </c>
      <c r="C11" s="4">
        <f>C3</f>
        <v>2016</v>
      </c>
      <c r="D11" s="4">
        <f t="shared" ref="D11:F11" si="0">D3</f>
        <v>2017</v>
      </c>
      <c r="E11" s="4">
        <f t="shared" si="0"/>
        <v>2018</v>
      </c>
      <c r="F11" s="4">
        <f t="shared" si="0"/>
        <v>2019</v>
      </c>
    </row>
    <row r="12" spans="1:6" x14ac:dyDescent="0.25">
      <c r="A12" s="37" t="s">
        <v>18</v>
      </c>
      <c r="B12" s="37"/>
      <c r="C12" s="53">
        <v>13000000</v>
      </c>
      <c r="D12" s="53">
        <v>14400000</v>
      </c>
      <c r="E12" s="53">
        <v>14400000</v>
      </c>
      <c r="F12" s="53">
        <v>11000000</v>
      </c>
    </row>
    <row r="13" spans="1:6" x14ac:dyDescent="0.25">
      <c r="A13" s="12" t="s">
        <v>65</v>
      </c>
      <c r="B13" s="12"/>
      <c r="C13" s="52">
        <f>-60*C5</f>
        <v>-6000000</v>
      </c>
      <c r="D13" s="52">
        <f>-60*D5</f>
        <v>-7200000</v>
      </c>
      <c r="E13" s="52">
        <f>-60*E5</f>
        <v>-7200000</v>
      </c>
      <c r="F13" s="52">
        <f>-60*F5</f>
        <v>-6600000</v>
      </c>
    </row>
    <row r="14" spans="1:6" x14ac:dyDescent="0.25">
      <c r="A14" s="37" t="s">
        <v>66</v>
      </c>
      <c r="B14" s="37"/>
      <c r="C14" s="77">
        <f>SUM(C12:C13)</f>
        <v>7000000</v>
      </c>
      <c r="D14" s="77">
        <f>SUM(D12:D13)</f>
        <v>7200000</v>
      </c>
      <c r="E14" s="77">
        <f>SUM(E12:E13)</f>
        <v>7200000</v>
      </c>
      <c r="F14" s="77">
        <f>SUM(F12:F13)</f>
        <v>4400000</v>
      </c>
    </row>
    <row r="15" spans="1:6" x14ac:dyDescent="0.25">
      <c r="A15" s="11" t="s">
        <v>67</v>
      </c>
      <c r="B15" s="11"/>
      <c r="C15" s="9">
        <v>-3000000</v>
      </c>
      <c r="D15" s="9">
        <v>-3000000</v>
      </c>
      <c r="E15" s="9">
        <v>-3000000</v>
      </c>
      <c r="F15" s="9">
        <v>-3000000</v>
      </c>
    </row>
    <row r="16" spans="1:6" x14ac:dyDescent="0.25">
      <c r="A16" s="11" t="s">
        <v>22</v>
      </c>
      <c r="B16" s="9">
        <v>-3000000</v>
      </c>
      <c r="C16" s="11"/>
      <c r="D16" s="11"/>
      <c r="E16" s="11"/>
      <c r="F16" s="11"/>
    </row>
    <row r="17" spans="1:6" x14ac:dyDescent="0.25">
      <c r="A17" s="12" t="s">
        <v>12</v>
      </c>
      <c r="B17" s="10">
        <v>-1800000</v>
      </c>
      <c r="C17" s="12"/>
      <c r="D17" s="12"/>
      <c r="E17" s="12"/>
      <c r="F17" s="10">
        <v>1800000</v>
      </c>
    </row>
    <row r="18" spans="1:6" x14ac:dyDescent="0.25">
      <c r="A18" s="21" t="s">
        <v>19</v>
      </c>
      <c r="B18" s="22">
        <f>SUM(B16:B17)</f>
        <v>-4800000</v>
      </c>
      <c r="C18" s="74">
        <f>SUM(C14:C17)</f>
        <v>4000000</v>
      </c>
      <c r="D18" s="74">
        <f>SUM(D14:D17)</f>
        <v>4200000</v>
      </c>
      <c r="E18" s="74">
        <f>SUM(E14:E17)</f>
        <v>4200000</v>
      </c>
      <c r="F18" s="74">
        <f>SUM(F14:F17)</f>
        <v>3200000</v>
      </c>
    </row>
    <row r="20" spans="1:6" x14ac:dyDescent="0.25">
      <c r="A20" s="65" t="s">
        <v>68</v>
      </c>
      <c r="B20" s="70">
        <f>B18+NPV($B$1,C18:F18)</f>
        <v>6902469.6891598292</v>
      </c>
    </row>
    <row r="23" spans="1:6" x14ac:dyDescent="0.25">
      <c r="A23" s="50" t="s">
        <v>0</v>
      </c>
      <c r="B23" s="78" t="s">
        <v>69</v>
      </c>
      <c r="C23" s="79" t="s">
        <v>70</v>
      </c>
      <c r="D23" s="79" t="s">
        <v>71</v>
      </c>
    </row>
    <row r="24" spans="1:6" x14ac:dyDescent="0.25">
      <c r="A24" s="5">
        <f>C11</f>
        <v>2016</v>
      </c>
      <c r="B24" s="81">
        <v>14500000</v>
      </c>
      <c r="C24" s="34">
        <v>13000000</v>
      </c>
      <c r="D24" s="8">
        <f>B24-C24</f>
        <v>1500000</v>
      </c>
    </row>
    <row r="25" spans="1:6" x14ac:dyDescent="0.25">
      <c r="A25" s="6">
        <f>D11</f>
        <v>2017</v>
      </c>
      <c r="B25" s="31">
        <v>15600000</v>
      </c>
      <c r="C25" s="34">
        <v>14400000</v>
      </c>
      <c r="D25" s="9">
        <f>B25-C25</f>
        <v>1200000</v>
      </c>
    </row>
    <row r="26" spans="1:6" x14ac:dyDescent="0.25">
      <c r="A26" s="6">
        <f>E11</f>
        <v>2018</v>
      </c>
      <c r="B26" s="31">
        <v>14400000</v>
      </c>
      <c r="C26" s="34">
        <v>14400000</v>
      </c>
      <c r="D26" s="9">
        <f>B26-C26</f>
        <v>0</v>
      </c>
    </row>
    <row r="27" spans="1:6" x14ac:dyDescent="0.25">
      <c r="A27" s="7">
        <f>F11</f>
        <v>2019</v>
      </c>
      <c r="B27" s="33">
        <v>9900000</v>
      </c>
      <c r="C27" s="52">
        <v>11000000</v>
      </c>
      <c r="D27" s="10">
        <f>B27-C27</f>
        <v>-1100000</v>
      </c>
    </row>
    <row r="28" spans="1:6" x14ac:dyDescent="0.25">
      <c r="A28" s="82" t="s">
        <v>72</v>
      </c>
      <c r="B28" s="80"/>
      <c r="C28" s="76"/>
      <c r="D28" s="70">
        <f>NPV($B$1,D24:D27)</f>
        <v>1592559.0479198252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2"/>
  <sheetViews>
    <sheetView workbookViewId="0">
      <selection activeCell="C24" sqref="C24"/>
    </sheetView>
  </sheetViews>
  <sheetFormatPr defaultColWidth="11.453125" defaultRowHeight="12.5" x14ac:dyDescent="0.25"/>
  <cols>
    <col min="1" max="1" width="21.81640625" customWidth="1"/>
    <col min="2" max="2" width="14.26953125" bestFit="1" customWidth="1"/>
    <col min="3" max="3" width="11.81640625" bestFit="1" customWidth="1"/>
    <col min="4" max="4" width="12.7265625" bestFit="1" customWidth="1"/>
  </cols>
  <sheetData>
    <row r="1" spans="1:7" ht="14.5" x14ac:dyDescent="0.35">
      <c r="A1" s="157" t="s">
        <v>0</v>
      </c>
      <c r="B1" s="158">
        <v>0</v>
      </c>
      <c r="C1" s="158">
        <v>1</v>
      </c>
      <c r="D1" s="158">
        <v>2</v>
      </c>
      <c r="E1" s="158">
        <v>3</v>
      </c>
      <c r="F1" s="158">
        <v>4</v>
      </c>
      <c r="G1" s="158">
        <v>5</v>
      </c>
    </row>
    <row r="2" spans="1:7" x14ac:dyDescent="0.25">
      <c r="A2" t="s">
        <v>144</v>
      </c>
      <c r="B2" s="3">
        <v>-10000000</v>
      </c>
    </row>
    <row r="3" spans="1:7" x14ac:dyDescent="0.25">
      <c r="A3" t="s">
        <v>145</v>
      </c>
      <c r="B3" s="3">
        <v>2200000</v>
      </c>
    </row>
    <row r="4" spans="1:7" x14ac:dyDescent="0.25">
      <c r="A4" t="s">
        <v>146</v>
      </c>
      <c r="C4" s="3">
        <v>2500000</v>
      </c>
      <c r="D4" s="3">
        <v>1300000</v>
      </c>
      <c r="E4" s="3">
        <v>1300000</v>
      </c>
      <c r="F4" s="3">
        <v>1300000</v>
      </c>
      <c r="G4" s="3">
        <v>1300000</v>
      </c>
    </row>
    <row r="5" spans="1:7" x14ac:dyDescent="0.25">
      <c r="A5" t="s">
        <v>147</v>
      </c>
      <c r="C5" s="3">
        <v>1200000</v>
      </c>
      <c r="D5" s="3">
        <v>1200000</v>
      </c>
      <c r="E5" s="3">
        <v>1200000</v>
      </c>
      <c r="F5" s="3">
        <v>1200000</v>
      </c>
      <c r="G5" s="3">
        <v>1200000</v>
      </c>
    </row>
    <row r="6" spans="1:7" x14ac:dyDescent="0.25">
      <c r="A6" t="s">
        <v>148</v>
      </c>
      <c r="C6" s="3">
        <v>-800000</v>
      </c>
      <c r="D6" s="3">
        <v>-800000</v>
      </c>
      <c r="E6" s="3">
        <v>-800000</v>
      </c>
      <c r="F6" s="3">
        <v>-800000</v>
      </c>
      <c r="G6" s="3">
        <v>-1200000</v>
      </c>
    </row>
    <row r="7" spans="1:7" x14ac:dyDescent="0.25">
      <c r="A7" t="s">
        <v>149</v>
      </c>
      <c r="C7" s="3">
        <v>400000</v>
      </c>
      <c r="D7" s="3">
        <v>400000</v>
      </c>
      <c r="E7" s="3">
        <v>400000</v>
      </c>
      <c r="F7" s="3">
        <v>400000</v>
      </c>
      <c r="G7" s="3">
        <v>600000</v>
      </c>
    </row>
    <row r="8" spans="1:7" x14ac:dyDescent="0.25">
      <c r="A8" s="84" t="s">
        <v>150</v>
      </c>
      <c r="B8" s="84"/>
      <c r="C8" s="84"/>
      <c r="D8" s="84"/>
      <c r="E8" s="84"/>
      <c r="F8" s="84"/>
      <c r="G8" s="90">
        <v>1000000</v>
      </c>
    </row>
    <row r="9" spans="1:7" x14ac:dyDescent="0.25">
      <c r="A9" s="159" t="s">
        <v>19</v>
      </c>
      <c r="B9" s="160">
        <f>SUM(B2:B8)</f>
        <v>-7800000</v>
      </c>
      <c r="C9" s="160">
        <f t="shared" ref="C9:G9" si="0">SUM(C2:C8)</f>
        <v>3300000</v>
      </c>
      <c r="D9" s="160">
        <f t="shared" si="0"/>
        <v>2100000</v>
      </c>
      <c r="E9" s="160">
        <f t="shared" si="0"/>
        <v>2100000</v>
      </c>
      <c r="F9" s="160">
        <f t="shared" si="0"/>
        <v>2100000</v>
      </c>
      <c r="G9" s="160">
        <f t="shared" si="0"/>
        <v>2900000</v>
      </c>
    </row>
    <row r="11" spans="1:7" x14ac:dyDescent="0.25">
      <c r="A11" t="s">
        <v>151</v>
      </c>
      <c r="B11" s="87">
        <v>0.1</v>
      </c>
    </row>
    <row r="13" spans="1:7" x14ac:dyDescent="0.25">
      <c r="A13" s="161" t="s">
        <v>6</v>
      </c>
      <c r="B13" s="162">
        <f>NPV(B11,C9:G9)+B9</f>
        <v>1748298.3651141543</v>
      </c>
    </row>
    <row r="14" spans="1:7" x14ac:dyDescent="0.25">
      <c r="A14" s="161" t="s">
        <v>10</v>
      </c>
      <c r="B14" s="163">
        <f>IRR(B9:G9)</f>
        <v>0.18787916021349549</v>
      </c>
    </row>
    <row r="16" spans="1:7" ht="14.5" x14ac:dyDescent="0.35">
      <c r="A16" s="157" t="s">
        <v>0</v>
      </c>
      <c r="B16" s="158">
        <v>0</v>
      </c>
      <c r="C16" s="158">
        <v>1</v>
      </c>
      <c r="D16" s="158">
        <v>2</v>
      </c>
      <c r="E16" s="158">
        <v>3</v>
      </c>
      <c r="F16" s="158">
        <v>4</v>
      </c>
      <c r="G16" s="158">
        <v>5</v>
      </c>
    </row>
    <row r="17" spans="1:7" x14ac:dyDescent="0.25">
      <c r="A17" t="s">
        <v>152</v>
      </c>
      <c r="B17">
        <v>0</v>
      </c>
      <c r="C17" s="3">
        <v>-10000000</v>
      </c>
    </row>
    <row r="18" spans="1:7" x14ac:dyDescent="0.25">
      <c r="A18" s="164" t="s">
        <v>153</v>
      </c>
      <c r="B18" s="84">
        <v>0</v>
      </c>
      <c r="C18" s="90">
        <v>-1800000</v>
      </c>
      <c r="D18" s="90">
        <v>4400000</v>
      </c>
      <c r="E18" s="90">
        <v>4400000</v>
      </c>
      <c r="F18" s="90">
        <v>4400000</v>
      </c>
      <c r="G18" s="90">
        <v>4400000</v>
      </c>
    </row>
    <row r="19" spans="1:7" x14ac:dyDescent="0.25">
      <c r="A19" s="165" t="str">
        <f>A9</f>
        <v>Kontantstrøm</v>
      </c>
      <c r="B19" s="165">
        <f>SUM(B17:B18)</f>
        <v>0</v>
      </c>
      <c r="C19" s="160">
        <f>SUM(C17:C18)</f>
        <v>-11800000</v>
      </c>
      <c r="D19" s="160">
        <f t="shared" ref="D19:G19" si="1">SUM(D17:D18)</f>
        <v>4400000</v>
      </c>
      <c r="E19" s="160">
        <f t="shared" si="1"/>
        <v>4400000</v>
      </c>
      <c r="F19" s="160">
        <f t="shared" si="1"/>
        <v>4400000</v>
      </c>
      <c r="G19" s="160">
        <f t="shared" si="1"/>
        <v>4400000</v>
      </c>
    </row>
    <row r="21" spans="1:7" x14ac:dyDescent="0.25">
      <c r="A21" t="s">
        <v>151</v>
      </c>
      <c r="B21" s="87">
        <v>0.1</v>
      </c>
    </row>
    <row r="23" spans="1:7" x14ac:dyDescent="0.25">
      <c r="A23" s="161" t="s">
        <v>6</v>
      </c>
      <c r="B23" s="162">
        <f>NPV(B21,C19:G19)+B19</f>
        <v>1952189.0581244424</v>
      </c>
    </row>
    <row r="24" spans="1:7" x14ac:dyDescent="0.25">
      <c r="A24" s="161" t="s">
        <v>10</v>
      </c>
      <c r="B24" s="163">
        <f>IRR(B19:G19)</f>
        <v>0.18157988031571493</v>
      </c>
    </row>
    <row r="27" spans="1:7" ht="14.5" x14ac:dyDescent="0.35">
      <c r="A27" s="157" t="s">
        <v>0</v>
      </c>
      <c r="B27" s="158">
        <v>0</v>
      </c>
      <c r="C27" s="158">
        <v>1</v>
      </c>
      <c r="D27" s="158">
        <v>2</v>
      </c>
      <c r="E27" s="158">
        <v>3</v>
      </c>
      <c r="F27" s="158">
        <v>4</v>
      </c>
      <c r="G27" s="158">
        <v>5</v>
      </c>
    </row>
    <row r="28" spans="1:7" x14ac:dyDescent="0.25">
      <c r="A28" t="s">
        <v>154</v>
      </c>
      <c r="B28" s="29">
        <v>0</v>
      </c>
      <c r="C28" s="29">
        <f t="shared" ref="C28:G28" si="2">C19</f>
        <v>-11800000</v>
      </c>
      <c r="D28" s="29">
        <f t="shared" si="2"/>
        <v>4400000</v>
      </c>
      <c r="E28" s="29">
        <f t="shared" si="2"/>
        <v>4400000</v>
      </c>
      <c r="F28" s="29">
        <f t="shared" si="2"/>
        <v>4400000</v>
      </c>
      <c r="G28" s="29">
        <f t="shared" si="2"/>
        <v>4400000</v>
      </c>
    </row>
    <row r="29" spans="1:7" x14ac:dyDescent="0.25">
      <c r="A29" s="84" t="s">
        <v>155</v>
      </c>
      <c r="B29" s="90">
        <f>B9</f>
        <v>-7800000</v>
      </c>
      <c r="C29" s="90">
        <f t="shared" ref="C29:G29" si="3">C9</f>
        <v>3300000</v>
      </c>
      <c r="D29" s="90">
        <f t="shared" si="3"/>
        <v>2100000</v>
      </c>
      <c r="E29" s="90">
        <f t="shared" si="3"/>
        <v>2100000</v>
      </c>
      <c r="F29" s="90">
        <f t="shared" si="3"/>
        <v>2100000</v>
      </c>
      <c r="G29" s="90">
        <f t="shared" si="3"/>
        <v>2900000</v>
      </c>
    </row>
    <row r="30" spans="1:7" x14ac:dyDescent="0.25">
      <c r="A30" s="166" t="s">
        <v>156</v>
      </c>
      <c r="B30" s="167">
        <f>B28-B29</f>
        <v>7800000</v>
      </c>
      <c r="C30" s="167">
        <f t="shared" ref="C30:G30" si="4">C28-C29</f>
        <v>-15100000</v>
      </c>
      <c r="D30" s="167">
        <f t="shared" si="4"/>
        <v>2300000</v>
      </c>
      <c r="E30" s="167">
        <f t="shared" si="4"/>
        <v>2300000</v>
      </c>
      <c r="F30" s="167">
        <f t="shared" si="4"/>
        <v>2300000</v>
      </c>
      <c r="G30" s="167">
        <f t="shared" si="4"/>
        <v>1500000</v>
      </c>
    </row>
    <row r="32" spans="1:7" x14ac:dyDescent="0.25">
      <c r="A32" s="161" t="s">
        <v>10</v>
      </c>
      <c r="B32" s="163">
        <f>IRR(B30:G30)</f>
        <v>0.14475052199343152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workbookViewId="0">
      <selection activeCell="J11" sqref="J11"/>
    </sheetView>
  </sheetViews>
  <sheetFormatPr defaultColWidth="9.1796875" defaultRowHeight="12.5" x14ac:dyDescent="0.25"/>
  <cols>
    <col min="1" max="1" width="22.54296875" bestFit="1" customWidth="1"/>
    <col min="2" max="2" width="9.7265625" bestFit="1" customWidth="1"/>
  </cols>
  <sheetData>
    <row r="1" spans="1:6" x14ac:dyDescent="0.25">
      <c r="A1" s="168" t="s">
        <v>0</v>
      </c>
      <c r="B1" s="169">
        <v>0</v>
      </c>
      <c r="C1" s="169">
        <v>1</v>
      </c>
      <c r="D1" s="169">
        <v>2</v>
      </c>
      <c r="E1" s="169">
        <v>3</v>
      </c>
      <c r="F1" s="169">
        <v>4</v>
      </c>
    </row>
    <row r="2" spans="1:6" x14ac:dyDescent="0.25">
      <c r="A2" s="111" t="s">
        <v>11</v>
      </c>
      <c r="B2" s="3">
        <v>-4000000</v>
      </c>
    </row>
    <row r="3" spans="1:6" x14ac:dyDescent="0.25">
      <c r="A3" s="111" t="s">
        <v>74</v>
      </c>
      <c r="C3" s="3">
        <v>1975000</v>
      </c>
      <c r="D3" s="3">
        <v>1975000</v>
      </c>
      <c r="E3" s="3">
        <v>2600000</v>
      </c>
      <c r="F3" s="3">
        <v>2600000</v>
      </c>
    </row>
    <row r="4" spans="1:6" x14ac:dyDescent="0.25">
      <c r="A4" s="111" t="s">
        <v>77</v>
      </c>
      <c r="C4" s="3">
        <v>-395000</v>
      </c>
      <c r="D4" s="3">
        <v>-395000</v>
      </c>
      <c r="E4" s="3">
        <v>-520000</v>
      </c>
      <c r="F4" s="3">
        <v>-520000</v>
      </c>
    </row>
    <row r="5" spans="1:6" x14ac:dyDescent="0.25">
      <c r="A5" s="112" t="s">
        <v>73</v>
      </c>
      <c r="B5" s="84"/>
      <c r="C5" s="90">
        <v>-100000</v>
      </c>
      <c r="D5" s="90">
        <v>-100000</v>
      </c>
      <c r="E5" s="90">
        <v>-100000</v>
      </c>
      <c r="F5" s="90">
        <v>-100000</v>
      </c>
    </row>
    <row r="6" spans="1:6" x14ac:dyDescent="0.25">
      <c r="A6" s="114" t="s">
        <v>19</v>
      </c>
      <c r="B6" s="115">
        <f>SUM(B2:B5)</f>
        <v>-4000000</v>
      </c>
      <c r="C6" s="115">
        <f>SUM(C2:C5)</f>
        <v>1480000</v>
      </c>
      <c r="D6" s="115">
        <f>SUM(D2:D5)</f>
        <v>1480000</v>
      </c>
      <c r="E6" s="115">
        <f>SUM(E2:E5)</f>
        <v>1980000</v>
      </c>
      <c r="F6" s="115">
        <f>SUM(F2:F5)</f>
        <v>1980000</v>
      </c>
    </row>
    <row r="8" spans="1:6" x14ac:dyDescent="0.25">
      <c r="A8" s="116" t="s">
        <v>6</v>
      </c>
      <c r="B8" s="119">
        <f>NPV(15%,C6:F6)+B6</f>
        <v>840002.71582791861</v>
      </c>
    </row>
    <row r="9" spans="1:6" x14ac:dyDescent="0.25">
      <c r="A9" s="117" t="s">
        <v>10</v>
      </c>
      <c r="B9" s="120">
        <f>IRR(B6:F6)</f>
        <v>0.24417522441382178</v>
      </c>
    </row>
    <row r="10" spans="1:6" x14ac:dyDescent="0.25">
      <c r="A10" s="118" t="s">
        <v>101</v>
      </c>
      <c r="B10" s="121">
        <f>MIRR(B6:F6,15%,15%)</f>
        <v>0.20613034459202306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3"/>
  <sheetViews>
    <sheetView workbookViewId="0">
      <selection activeCell="K10" sqref="K10"/>
    </sheetView>
  </sheetViews>
  <sheetFormatPr defaultColWidth="9.1796875" defaultRowHeight="12.5" x14ac:dyDescent="0.25"/>
  <cols>
    <col min="1" max="1" width="22.54296875" bestFit="1" customWidth="1"/>
    <col min="2" max="2" width="15" bestFit="1" customWidth="1"/>
    <col min="3" max="7" width="10.7265625" bestFit="1" customWidth="1"/>
  </cols>
  <sheetData>
    <row r="1" spans="1:7" x14ac:dyDescent="0.25">
      <c r="A1" s="176" t="s">
        <v>0</v>
      </c>
      <c r="B1" s="177">
        <v>0</v>
      </c>
      <c r="C1" s="177">
        <v>1</v>
      </c>
      <c r="D1" s="177">
        <v>2</v>
      </c>
      <c r="E1" s="177">
        <v>3</v>
      </c>
      <c r="F1" s="177">
        <v>4</v>
      </c>
      <c r="G1" s="177">
        <v>5</v>
      </c>
    </row>
    <row r="2" spans="1:7" x14ac:dyDescent="0.25">
      <c r="A2" s="111" t="s">
        <v>11</v>
      </c>
      <c r="B2" s="3">
        <v>-25000000</v>
      </c>
    </row>
    <row r="3" spans="1:7" x14ac:dyDescent="0.25">
      <c r="A3" s="111" t="s">
        <v>12</v>
      </c>
      <c r="B3" s="3">
        <v>-5000000</v>
      </c>
    </row>
    <row r="4" spans="1:7" x14ac:dyDescent="0.25">
      <c r="A4" s="111" t="s">
        <v>18</v>
      </c>
      <c r="C4" s="3">
        <v>20000000</v>
      </c>
      <c r="D4" s="3">
        <v>35000000</v>
      </c>
      <c r="E4" s="3">
        <v>45000000</v>
      </c>
      <c r="F4" s="3">
        <v>60000000</v>
      </c>
      <c r="G4" s="3">
        <v>63000000</v>
      </c>
    </row>
    <row r="5" spans="1:7" x14ac:dyDescent="0.25">
      <c r="A5" s="111" t="s">
        <v>77</v>
      </c>
      <c r="C5" s="3">
        <v>-10000000</v>
      </c>
      <c r="D5" s="3">
        <v>-17500000</v>
      </c>
      <c r="E5" s="3">
        <v>-20250000</v>
      </c>
      <c r="F5" s="3">
        <v>-27000000</v>
      </c>
      <c r="G5" s="3">
        <v>-25200000</v>
      </c>
    </row>
    <row r="6" spans="1:7" x14ac:dyDescent="0.25">
      <c r="A6" s="112" t="s">
        <v>73</v>
      </c>
      <c r="B6" s="84"/>
      <c r="C6" s="90">
        <v>-8000000</v>
      </c>
      <c r="D6" s="90">
        <v>-12000000</v>
      </c>
      <c r="E6" s="90">
        <v>-15000000</v>
      </c>
      <c r="F6" s="90">
        <v>-15000000</v>
      </c>
      <c r="G6" s="90">
        <v>-12000000</v>
      </c>
    </row>
    <row r="7" spans="1:7" x14ac:dyDescent="0.25">
      <c r="A7" s="122" t="s">
        <v>19</v>
      </c>
      <c r="B7" s="123">
        <f t="shared" ref="B7:G7" si="0">SUM(B2:B6)</f>
        <v>-30000000</v>
      </c>
      <c r="C7" s="123">
        <f t="shared" si="0"/>
        <v>2000000</v>
      </c>
      <c r="D7" s="123">
        <f t="shared" si="0"/>
        <v>5500000</v>
      </c>
      <c r="E7" s="123">
        <f t="shared" si="0"/>
        <v>9750000</v>
      </c>
      <c r="F7" s="123">
        <f t="shared" si="0"/>
        <v>18000000</v>
      </c>
      <c r="G7" s="123">
        <f t="shared" si="0"/>
        <v>25800000</v>
      </c>
    </row>
    <row r="8" spans="1:7" x14ac:dyDescent="0.25">
      <c r="A8" s="113"/>
      <c r="B8" s="124"/>
      <c r="C8" s="124"/>
      <c r="D8" s="124"/>
      <c r="E8" s="124"/>
      <c r="F8" s="124"/>
      <c r="G8" s="124"/>
    </row>
    <row r="9" spans="1:7" x14ac:dyDescent="0.25">
      <c r="A9" s="170" t="s">
        <v>61</v>
      </c>
      <c r="B9" s="173">
        <v>0.2</v>
      </c>
      <c r="C9" s="124"/>
      <c r="D9" s="124"/>
      <c r="E9" s="124"/>
      <c r="F9" s="124"/>
      <c r="G9" s="124"/>
    </row>
    <row r="10" spans="1:7" x14ac:dyDescent="0.25">
      <c r="A10" s="171" t="s">
        <v>103</v>
      </c>
      <c r="B10" s="147">
        <v>0.02</v>
      </c>
    </row>
    <row r="11" spans="1:7" x14ac:dyDescent="0.25">
      <c r="A11" s="171" t="s">
        <v>104</v>
      </c>
      <c r="B11" s="148">
        <f>NPV(B9,C7:G7)+B7</f>
        <v>177469.1358024776</v>
      </c>
    </row>
    <row r="12" spans="1:7" x14ac:dyDescent="0.25">
      <c r="A12" s="171" t="s">
        <v>102</v>
      </c>
      <c r="B12" s="174">
        <f>G7/B9</f>
        <v>129000000</v>
      </c>
    </row>
    <row r="13" spans="1:7" x14ac:dyDescent="0.25">
      <c r="A13" s="172" t="s">
        <v>105</v>
      </c>
      <c r="B13" s="175">
        <f>G7*(1+B10)/(B9-B10)</f>
        <v>146199999.99999997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3"/>
  <sheetViews>
    <sheetView topLeftCell="A7" workbookViewId="0">
      <selection activeCell="H35" sqref="H35"/>
    </sheetView>
  </sheetViews>
  <sheetFormatPr defaultColWidth="9.1796875" defaultRowHeight="12.5" x14ac:dyDescent="0.25"/>
  <cols>
    <col min="1" max="1" width="24.453125" bestFit="1" customWidth="1"/>
    <col min="2" max="2" width="9.7265625" bestFit="1" customWidth="1"/>
    <col min="3" max="3" width="10.453125" customWidth="1"/>
    <col min="4" max="9" width="9.7265625" bestFit="1" customWidth="1"/>
  </cols>
  <sheetData>
    <row r="1" spans="1:2" x14ac:dyDescent="0.25">
      <c r="A1" s="151" t="s">
        <v>27</v>
      </c>
      <c r="B1" s="146">
        <v>500000</v>
      </c>
    </row>
    <row r="2" spans="1:2" x14ac:dyDescent="0.25">
      <c r="A2" s="152" t="s">
        <v>106</v>
      </c>
      <c r="B2" s="148">
        <v>2500000</v>
      </c>
    </row>
    <row r="3" spans="1:2" x14ac:dyDescent="0.25">
      <c r="A3" s="152" t="s">
        <v>107</v>
      </c>
      <c r="B3" s="148">
        <v>500000</v>
      </c>
    </row>
    <row r="4" spans="1:2" x14ac:dyDescent="0.25">
      <c r="A4" s="152" t="s">
        <v>108</v>
      </c>
      <c r="B4" s="148">
        <v>150000</v>
      </c>
    </row>
    <row r="5" spans="1:2" x14ac:dyDescent="0.25">
      <c r="A5" s="152" t="s">
        <v>88</v>
      </c>
      <c r="B5" s="148">
        <v>800000</v>
      </c>
    </row>
    <row r="6" spans="1:2" x14ac:dyDescent="0.25">
      <c r="A6" s="152" t="s">
        <v>109</v>
      </c>
      <c r="B6" s="148">
        <v>100000</v>
      </c>
    </row>
    <row r="7" spans="1:2" x14ac:dyDescent="0.25">
      <c r="A7" s="152" t="s">
        <v>110</v>
      </c>
      <c r="B7" s="148">
        <v>150000</v>
      </c>
    </row>
    <row r="8" spans="1:2" x14ac:dyDescent="0.25">
      <c r="A8" s="152" t="s">
        <v>12</v>
      </c>
      <c r="B8" s="148">
        <v>400000</v>
      </c>
    </row>
    <row r="9" spans="1:2" x14ac:dyDescent="0.25">
      <c r="A9" s="152" t="s">
        <v>111</v>
      </c>
      <c r="B9" s="148">
        <v>50000</v>
      </c>
    </row>
    <row r="10" spans="1:2" x14ac:dyDescent="0.25">
      <c r="A10" s="152" t="s">
        <v>112</v>
      </c>
      <c r="B10" s="148">
        <v>70000</v>
      </c>
    </row>
    <row r="11" spans="1:2" x14ac:dyDescent="0.25">
      <c r="A11" s="152" t="s">
        <v>113</v>
      </c>
      <c r="B11" s="148">
        <v>80000</v>
      </c>
    </row>
    <row r="12" spans="1:2" x14ac:dyDescent="0.25">
      <c r="A12" s="152" t="s">
        <v>114</v>
      </c>
      <c r="B12" s="148">
        <v>90000</v>
      </c>
    </row>
    <row r="13" spans="1:2" x14ac:dyDescent="0.25">
      <c r="A13" s="152" t="s">
        <v>115</v>
      </c>
      <c r="B13" s="148">
        <v>90000</v>
      </c>
    </row>
    <row r="14" spans="1:2" x14ac:dyDescent="0.25">
      <c r="A14" s="152" t="s">
        <v>116</v>
      </c>
      <c r="B14" s="148">
        <v>100000</v>
      </c>
    </row>
    <row r="15" spans="1:2" x14ac:dyDescent="0.25">
      <c r="A15" s="152" t="s">
        <v>117</v>
      </c>
      <c r="B15" s="148">
        <v>50000</v>
      </c>
    </row>
    <row r="16" spans="1:2" x14ac:dyDescent="0.25">
      <c r="A16" s="152" t="s">
        <v>118</v>
      </c>
      <c r="B16" s="148">
        <v>72</v>
      </c>
    </row>
    <row r="17" spans="1:9" x14ac:dyDescent="0.25">
      <c r="A17" s="171" t="s">
        <v>119</v>
      </c>
      <c r="B17" s="148">
        <v>45</v>
      </c>
    </row>
    <row r="18" spans="1:9" x14ac:dyDescent="0.25">
      <c r="A18" s="152" t="s">
        <v>80</v>
      </c>
      <c r="B18" s="148">
        <v>0</v>
      </c>
    </row>
    <row r="19" spans="1:9" x14ac:dyDescent="0.25">
      <c r="A19" s="153" t="s">
        <v>61</v>
      </c>
      <c r="B19" s="178">
        <v>0.1</v>
      </c>
    </row>
    <row r="22" spans="1:9" ht="13" x14ac:dyDescent="0.3">
      <c r="A22" s="125" t="s">
        <v>0</v>
      </c>
      <c r="B22" s="126">
        <v>0</v>
      </c>
      <c r="C22" s="127">
        <v>1</v>
      </c>
      <c r="D22" s="127">
        <v>2</v>
      </c>
      <c r="E22" s="126">
        <v>3</v>
      </c>
      <c r="F22" s="127">
        <v>4</v>
      </c>
      <c r="G22" s="127">
        <v>5</v>
      </c>
      <c r="H22" s="126">
        <v>6</v>
      </c>
      <c r="I22" s="127">
        <v>7</v>
      </c>
    </row>
    <row r="23" spans="1:9" x14ac:dyDescent="0.25">
      <c r="A23" s="37" t="s">
        <v>106</v>
      </c>
      <c r="B23" s="8">
        <f>-B2</f>
        <v>-2500000</v>
      </c>
      <c r="C23" s="37"/>
      <c r="D23" s="37"/>
      <c r="E23" s="37"/>
      <c r="F23" s="37"/>
      <c r="G23" s="37"/>
      <c r="H23" s="37"/>
      <c r="I23" s="37"/>
    </row>
    <row r="24" spans="1:9" x14ac:dyDescent="0.25">
      <c r="A24" s="11" t="s">
        <v>107</v>
      </c>
      <c r="B24" s="9">
        <f>-B3</f>
        <v>-500000</v>
      </c>
      <c r="C24" s="11"/>
      <c r="D24" s="11"/>
      <c r="E24" s="11"/>
      <c r="F24" s="11"/>
      <c r="G24" s="11"/>
      <c r="H24" s="11"/>
      <c r="I24" s="11"/>
    </row>
    <row r="25" spans="1:9" x14ac:dyDescent="0.25">
      <c r="A25" s="11" t="s">
        <v>108</v>
      </c>
      <c r="B25" s="9">
        <f>-B4</f>
        <v>-150000</v>
      </c>
      <c r="C25" s="11"/>
      <c r="D25" s="11"/>
      <c r="E25" s="11"/>
      <c r="F25" s="11"/>
      <c r="G25" s="11"/>
      <c r="H25" s="11"/>
      <c r="I25" s="11"/>
    </row>
    <row r="26" spans="1:9" x14ac:dyDescent="0.25">
      <c r="A26" s="11" t="s">
        <v>12</v>
      </c>
      <c r="B26" s="9">
        <f>-B8</f>
        <v>-400000</v>
      </c>
      <c r="C26" s="11"/>
      <c r="D26" s="11"/>
      <c r="E26" s="11"/>
      <c r="F26" s="11"/>
      <c r="G26" s="11"/>
      <c r="H26" s="11"/>
      <c r="I26" s="9">
        <f>B8</f>
        <v>400000</v>
      </c>
    </row>
    <row r="27" spans="1:9" x14ac:dyDescent="0.25">
      <c r="A27" s="11" t="s">
        <v>18</v>
      </c>
      <c r="B27" s="9"/>
      <c r="C27" s="9">
        <f>B16*B9</f>
        <v>3600000</v>
      </c>
      <c r="D27" s="9">
        <f>B16*B10</f>
        <v>5040000</v>
      </c>
      <c r="E27" s="9">
        <f>B16*B11</f>
        <v>5760000</v>
      </c>
      <c r="F27" s="9">
        <f>B16*B12</f>
        <v>6480000</v>
      </c>
      <c r="G27" s="9">
        <f>B16*B13</f>
        <v>6480000</v>
      </c>
      <c r="H27" s="9">
        <f>B16*B14</f>
        <v>7200000</v>
      </c>
      <c r="I27" s="9">
        <f>B16*B15</f>
        <v>3600000</v>
      </c>
    </row>
    <row r="28" spans="1:9" x14ac:dyDescent="0.25">
      <c r="A28" s="11" t="s">
        <v>77</v>
      </c>
      <c r="B28" s="9"/>
      <c r="C28" s="9">
        <f>-B17*B9</f>
        <v>-2250000</v>
      </c>
      <c r="D28" s="9">
        <f>-B17*B10</f>
        <v>-3150000</v>
      </c>
      <c r="E28" s="9">
        <f>-B17*B11</f>
        <v>-3600000</v>
      </c>
      <c r="F28" s="9">
        <f>-B17*B12</f>
        <v>-4050000</v>
      </c>
      <c r="G28" s="9">
        <f>-B17*B13</f>
        <v>-4050000</v>
      </c>
      <c r="H28" s="9">
        <f>-B17*B14</f>
        <v>-4500000</v>
      </c>
      <c r="I28" s="9">
        <f>-B17*B15</f>
        <v>-2250000</v>
      </c>
    </row>
    <row r="29" spans="1:9" x14ac:dyDescent="0.25">
      <c r="A29" s="11" t="s">
        <v>120</v>
      </c>
      <c r="B29" s="9"/>
      <c r="C29" s="9">
        <f>-$B$1</f>
        <v>-500000</v>
      </c>
      <c r="D29" s="9">
        <f t="shared" ref="D29:I29" si="0">-$B$1</f>
        <v>-500000</v>
      </c>
      <c r="E29" s="9">
        <f t="shared" si="0"/>
        <v>-500000</v>
      </c>
      <c r="F29" s="9">
        <f t="shared" si="0"/>
        <v>-500000</v>
      </c>
      <c r="G29" s="9">
        <f t="shared" si="0"/>
        <v>-500000</v>
      </c>
      <c r="H29" s="9">
        <f t="shared" si="0"/>
        <v>-500000</v>
      </c>
      <c r="I29" s="9">
        <f t="shared" si="0"/>
        <v>-500000</v>
      </c>
    </row>
    <row r="30" spans="1:9" x14ac:dyDescent="0.25">
      <c r="A30" s="11" t="s">
        <v>88</v>
      </c>
      <c r="B30" s="9"/>
      <c r="C30" s="9">
        <f>-$B$5</f>
        <v>-800000</v>
      </c>
      <c r="D30" s="9">
        <f>-$B$5</f>
        <v>-800000</v>
      </c>
      <c r="E30" s="9">
        <f>-$B$5</f>
        <v>-800000</v>
      </c>
      <c r="F30" s="9">
        <f>-$B$5</f>
        <v>-800000</v>
      </c>
      <c r="G30" s="9"/>
      <c r="H30" s="9"/>
      <c r="I30" s="9"/>
    </row>
    <row r="31" spans="1:9" x14ac:dyDescent="0.25">
      <c r="A31" s="12" t="s">
        <v>121</v>
      </c>
      <c r="B31" s="10"/>
      <c r="C31" s="10">
        <f>-$B$6</f>
        <v>-100000</v>
      </c>
      <c r="D31" s="10">
        <f>-$B$6</f>
        <v>-100000</v>
      </c>
      <c r="E31" s="10">
        <f>-$B$6</f>
        <v>-100000</v>
      </c>
      <c r="F31" s="10">
        <f>-$B$6</f>
        <v>-100000</v>
      </c>
      <c r="G31" s="10">
        <f>-$B$6</f>
        <v>-100000</v>
      </c>
      <c r="H31" s="10">
        <f>-$B$7</f>
        <v>-150000</v>
      </c>
      <c r="I31" s="10">
        <f>-$B$7</f>
        <v>-150000</v>
      </c>
    </row>
    <row r="32" spans="1:9" x14ac:dyDescent="0.25">
      <c r="A32" s="21" t="s">
        <v>19</v>
      </c>
      <c r="B32" s="22">
        <f t="shared" ref="B32:I32" si="1">SUM(B23:B31)</f>
        <v>-3550000</v>
      </c>
      <c r="C32" s="22">
        <f t="shared" si="1"/>
        <v>-50000</v>
      </c>
      <c r="D32" s="22">
        <f t="shared" si="1"/>
        <v>490000</v>
      </c>
      <c r="E32" s="22">
        <f t="shared" si="1"/>
        <v>760000</v>
      </c>
      <c r="F32" s="22">
        <f t="shared" si="1"/>
        <v>1030000</v>
      </c>
      <c r="G32" s="22">
        <f t="shared" si="1"/>
        <v>1830000</v>
      </c>
      <c r="H32" s="22">
        <f t="shared" si="1"/>
        <v>2050000</v>
      </c>
      <c r="I32" s="22">
        <f t="shared" si="1"/>
        <v>1100000</v>
      </c>
    </row>
    <row r="33" spans="1:9" x14ac:dyDescent="0.25">
      <c r="B33" s="3"/>
      <c r="C33" s="3"/>
      <c r="D33" s="3"/>
      <c r="E33" s="3"/>
      <c r="F33" s="3"/>
      <c r="G33" s="3"/>
      <c r="H33" s="3"/>
      <c r="I33" s="3"/>
    </row>
    <row r="34" spans="1:9" ht="13" x14ac:dyDescent="0.3">
      <c r="A34" s="183" t="s">
        <v>10</v>
      </c>
      <c r="B34" s="185">
        <f>IRR(B32:I32)</f>
        <v>0.15506924022443269</v>
      </c>
      <c r="C34" s="3"/>
      <c r="D34" s="3"/>
      <c r="E34" s="3"/>
      <c r="F34" s="3"/>
      <c r="G34" s="3"/>
      <c r="H34" s="3"/>
      <c r="I34" s="3"/>
    </row>
    <row r="35" spans="1:9" ht="13" x14ac:dyDescent="0.3">
      <c r="A35" s="184" t="s">
        <v>6</v>
      </c>
      <c r="B35" s="186">
        <f>NPV(10%,C32:I32)+B32</f>
        <v>941938.7478048997</v>
      </c>
      <c r="C35" s="3"/>
      <c r="D35" s="3"/>
      <c r="E35" s="3"/>
      <c r="F35" s="3"/>
      <c r="G35" s="3"/>
      <c r="H35" s="3"/>
      <c r="I35" s="3"/>
    </row>
    <row r="36" spans="1:9" x14ac:dyDescent="0.25"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7" t="s">
        <v>122</v>
      </c>
      <c r="B37" s="180">
        <f>1/((1+$B$19)^G22)</f>
        <v>0.62092132305915493</v>
      </c>
      <c r="C37" s="3"/>
      <c r="D37" s="3"/>
      <c r="E37" s="3"/>
      <c r="F37" s="3"/>
      <c r="G37" s="3"/>
      <c r="H37" s="3"/>
      <c r="I37" s="3"/>
    </row>
    <row r="38" spans="1:9" x14ac:dyDescent="0.25">
      <c r="A38" s="11" t="s">
        <v>123</v>
      </c>
      <c r="B38" s="181">
        <f>1/((1+$B$19)^H22)</f>
        <v>0.56447393005377722</v>
      </c>
      <c r="C38" s="3"/>
      <c r="D38" s="3"/>
      <c r="E38" s="3"/>
      <c r="F38" s="3"/>
      <c r="G38" s="3"/>
      <c r="H38" s="3"/>
      <c r="I38" s="3"/>
    </row>
    <row r="39" spans="1:9" x14ac:dyDescent="0.25">
      <c r="A39" s="12" t="s">
        <v>124</v>
      </c>
      <c r="B39" s="182">
        <f>1/((1+$B$19)^I22)</f>
        <v>0.51315811823070645</v>
      </c>
      <c r="C39" s="3"/>
      <c r="D39" s="3"/>
      <c r="E39" s="3"/>
      <c r="F39" s="3"/>
      <c r="G39" s="3"/>
      <c r="H39" s="3"/>
      <c r="I39" s="3"/>
    </row>
    <row r="40" spans="1:9" x14ac:dyDescent="0.25">
      <c r="A40" s="179" t="s">
        <v>125</v>
      </c>
      <c r="B40" s="182">
        <f>SUM(B37:B39)</f>
        <v>1.6985533713436385</v>
      </c>
      <c r="C40" s="3"/>
      <c r="D40" s="3"/>
      <c r="E40" s="3"/>
      <c r="F40" s="3"/>
      <c r="G40" s="3"/>
      <c r="H40" s="3"/>
      <c r="I40" s="3"/>
    </row>
    <row r="41" spans="1:9" x14ac:dyDescent="0.25">
      <c r="A41" s="83"/>
      <c r="B41" s="128"/>
      <c r="C41" s="3"/>
      <c r="D41" s="3"/>
      <c r="E41" s="3"/>
      <c r="F41" s="3"/>
      <c r="G41" s="3"/>
      <c r="H41" s="3"/>
      <c r="I41" s="3"/>
    </row>
    <row r="42" spans="1:9" ht="13" x14ac:dyDescent="0.3">
      <c r="A42" s="129" t="s">
        <v>126</v>
      </c>
      <c r="B42" s="130">
        <f>B35</f>
        <v>941938.7478048997</v>
      </c>
      <c r="C42" s="131" t="s">
        <v>127</v>
      </c>
      <c r="D42" s="131"/>
      <c r="E42" s="3"/>
      <c r="F42" s="3"/>
      <c r="G42" s="3"/>
      <c r="H42" s="3"/>
      <c r="I42" s="3"/>
    </row>
    <row r="43" spans="1:9" ht="13" x14ac:dyDescent="0.3">
      <c r="A43" s="129" t="s">
        <v>128</v>
      </c>
      <c r="B43" s="130">
        <f>B42/B40</f>
        <v>554553.51812688715</v>
      </c>
      <c r="C43" s="131" t="s">
        <v>129</v>
      </c>
      <c r="D43" s="131"/>
      <c r="E43" s="3"/>
      <c r="F43" s="3"/>
      <c r="G43" s="3"/>
      <c r="H43" s="3"/>
      <c r="I43" s="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3"/>
  <sheetViews>
    <sheetView workbookViewId="0">
      <selection activeCell="A20" sqref="A20"/>
    </sheetView>
  </sheetViews>
  <sheetFormatPr defaultColWidth="9.1796875" defaultRowHeight="12.5" x14ac:dyDescent="0.25"/>
  <cols>
    <col min="1" max="1" width="16" bestFit="1" customWidth="1"/>
    <col min="8" max="8" width="14.1796875" customWidth="1"/>
    <col min="10" max="10" width="11.54296875" bestFit="1" customWidth="1"/>
  </cols>
  <sheetData>
    <row r="1" spans="1:9" x14ac:dyDescent="0.25">
      <c r="A1" s="38" t="s">
        <v>157</v>
      </c>
      <c r="B1" s="14">
        <v>-400000</v>
      </c>
    </row>
    <row r="2" spans="1:9" x14ac:dyDescent="0.25">
      <c r="A2" s="187" t="s">
        <v>158</v>
      </c>
      <c r="B2" s="16">
        <v>300000</v>
      </c>
    </row>
    <row r="3" spans="1:9" x14ac:dyDescent="0.25">
      <c r="A3" s="187" t="s">
        <v>159</v>
      </c>
      <c r="B3" s="16">
        <v>350000</v>
      </c>
    </row>
    <row r="4" spans="1:9" x14ac:dyDescent="0.25">
      <c r="A4" s="187" t="s">
        <v>160</v>
      </c>
      <c r="B4" s="16">
        <v>320000</v>
      </c>
    </row>
    <row r="5" spans="1:9" x14ac:dyDescent="0.25">
      <c r="A5" s="187" t="s">
        <v>161</v>
      </c>
      <c r="B5" s="16">
        <v>300000</v>
      </c>
    </row>
    <row r="6" spans="1:9" x14ac:dyDescent="0.25">
      <c r="A6" s="187" t="s">
        <v>162</v>
      </c>
      <c r="B6" s="16">
        <v>200000</v>
      </c>
    </row>
    <row r="7" spans="1:9" x14ac:dyDescent="0.25">
      <c r="A7" s="187" t="s">
        <v>163</v>
      </c>
      <c r="B7" s="16">
        <v>350000</v>
      </c>
    </row>
    <row r="8" spans="1:9" x14ac:dyDescent="0.25">
      <c r="A8" s="187" t="s">
        <v>164</v>
      </c>
      <c r="B8" s="16">
        <v>300000</v>
      </c>
    </row>
    <row r="9" spans="1:9" x14ac:dyDescent="0.25">
      <c r="A9" s="187" t="s">
        <v>165</v>
      </c>
      <c r="B9" s="16">
        <v>250000</v>
      </c>
    </row>
    <row r="10" spans="1:9" x14ac:dyDescent="0.25">
      <c r="A10" s="187" t="s">
        <v>166</v>
      </c>
      <c r="B10" s="16">
        <v>200000</v>
      </c>
    </row>
    <row r="11" spans="1:9" x14ac:dyDescent="0.25">
      <c r="A11" s="39" t="s">
        <v>167</v>
      </c>
      <c r="B11" s="19">
        <v>100000</v>
      </c>
    </row>
    <row r="14" spans="1:9" ht="25" x14ac:dyDescent="0.25">
      <c r="A14" s="194" t="s">
        <v>24</v>
      </c>
      <c r="B14" s="195">
        <v>0</v>
      </c>
      <c r="C14" s="195">
        <v>1</v>
      </c>
      <c r="D14" s="195">
        <v>2</v>
      </c>
      <c r="E14" s="195">
        <v>3</v>
      </c>
      <c r="F14" s="195">
        <v>4</v>
      </c>
      <c r="G14" s="196">
        <v>5</v>
      </c>
      <c r="H14" s="197" t="s">
        <v>6</v>
      </c>
      <c r="I14" s="198" t="s">
        <v>168</v>
      </c>
    </row>
    <row r="15" spans="1:9" x14ac:dyDescent="0.25">
      <c r="A15" s="15">
        <v>1</v>
      </c>
      <c r="B15" s="14">
        <f>$B$1</f>
        <v>-400000</v>
      </c>
      <c r="C15" s="14">
        <f>B2+B7</f>
        <v>650000</v>
      </c>
      <c r="D15" s="17"/>
      <c r="E15" s="40"/>
      <c r="F15" s="17"/>
      <c r="G15" s="66"/>
      <c r="H15" s="188">
        <f>B15+NPV($B$21,C15:G15)</f>
        <v>180357.14285714284</v>
      </c>
      <c r="I15" s="59">
        <f>-PMT($B$21,C14,H15)</f>
        <v>201999.99999999997</v>
      </c>
    </row>
    <row r="16" spans="1:9" x14ac:dyDescent="0.25">
      <c r="A16" s="15">
        <v>2</v>
      </c>
      <c r="B16" s="16">
        <f>$B$1</f>
        <v>-400000</v>
      </c>
      <c r="C16" s="16">
        <f>$B$2</f>
        <v>300000</v>
      </c>
      <c r="D16" s="16">
        <f>B3+B8</f>
        <v>650000</v>
      </c>
      <c r="E16" s="17"/>
      <c r="F16" s="17"/>
      <c r="G16" s="68"/>
      <c r="H16" s="189">
        <f>B16+NPV($B$21,C16:G16)</f>
        <v>386033.16326530604</v>
      </c>
      <c r="I16" s="190">
        <f>-PMT($B$21,D14,H16)</f>
        <v>228415.09433962262</v>
      </c>
    </row>
    <row r="17" spans="1:10" ht="13" x14ac:dyDescent="0.3">
      <c r="A17" s="15">
        <v>3</v>
      </c>
      <c r="B17" s="16">
        <f>$B$1</f>
        <v>-400000</v>
      </c>
      <c r="C17" s="16">
        <f>$B$2</f>
        <v>300000</v>
      </c>
      <c r="D17" s="16">
        <f>$B$3</f>
        <v>350000</v>
      </c>
      <c r="E17" s="16">
        <f>B4+B9</f>
        <v>570000</v>
      </c>
      <c r="F17" s="17"/>
      <c r="G17" s="68"/>
      <c r="H17" s="189">
        <f>B17+NPV($B$21,C17:G17)</f>
        <v>552589.741253644</v>
      </c>
      <c r="I17" s="191">
        <f>-PMT($B$21,E14,H17)</f>
        <v>230070.17543859637</v>
      </c>
    </row>
    <row r="18" spans="1:10" x14ac:dyDescent="0.25">
      <c r="A18" s="15">
        <v>4</v>
      </c>
      <c r="B18" s="16">
        <f>$B$1</f>
        <v>-400000</v>
      </c>
      <c r="C18" s="16">
        <f>$B$2</f>
        <v>300000</v>
      </c>
      <c r="D18" s="16">
        <v>350000</v>
      </c>
      <c r="E18" s="16">
        <f>$B$4</f>
        <v>320000</v>
      </c>
      <c r="F18" s="16">
        <f>B5+B10</f>
        <v>500000</v>
      </c>
      <c r="G18" s="68"/>
      <c r="H18" s="189">
        <f>B18+NPV($B$21,C18:G18)</f>
        <v>692403.71850270708</v>
      </c>
      <c r="I18" s="190">
        <f>-PMT($B$21,F14,H18)</f>
        <v>227963.14795720234</v>
      </c>
    </row>
    <row r="19" spans="1:10" ht="13" x14ac:dyDescent="0.3">
      <c r="A19" s="18">
        <v>5</v>
      </c>
      <c r="B19" s="19">
        <f>$B$1</f>
        <v>-400000</v>
      </c>
      <c r="C19" s="19">
        <f>$B$2</f>
        <v>300000</v>
      </c>
      <c r="D19" s="19">
        <v>350000</v>
      </c>
      <c r="E19" s="19">
        <f>$B$4</f>
        <v>320000</v>
      </c>
      <c r="F19" s="19">
        <f>B5</f>
        <v>300000</v>
      </c>
      <c r="G19" s="192">
        <f>B6+B11</f>
        <v>300000</v>
      </c>
      <c r="H19" s="193">
        <f>B19+NPV($B$21,C19:G19)</f>
        <v>735528.15953732049</v>
      </c>
      <c r="I19" s="60">
        <f>-PMT($B$21,G14,H19)</f>
        <v>204042.66957234114</v>
      </c>
    </row>
    <row r="20" spans="1:10" x14ac:dyDescent="0.25">
      <c r="B20" s="3"/>
      <c r="C20" s="3"/>
      <c r="D20" s="3"/>
      <c r="E20" s="3"/>
      <c r="F20" s="3"/>
      <c r="G20" s="3"/>
      <c r="H20" s="205"/>
    </row>
    <row r="21" spans="1:10" x14ac:dyDescent="0.25">
      <c r="A21" s="199" t="s">
        <v>138</v>
      </c>
      <c r="B21" s="2">
        <v>0.12</v>
      </c>
    </row>
    <row r="23" spans="1:10" x14ac:dyDescent="0.25">
      <c r="J23" s="205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0"/>
  <sheetViews>
    <sheetView workbookViewId="0">
      <selection activeCell="I33" sqref="I33"/>
    </sheetView>
  </sheetViews>
  <sheetFormatPr defaultColWidth="9.1796875" defaultRowHeight="12.5" x14ac:dyDescent="0.25"/>
  <cols>
    <col min="1" max="1" width="12.26953125" bestFit="1" customWidth="1"/>
  </cols>
  <sheetData>
    <row r="1" spans="1:3" x14ac:dyDescent="0.25">
      <c r="A1" s="133" t="s">
        <v>130</v>
      </c>
      <c r="B1" s="134" t="s">
        <v>131</v>
      </c>
      <c r="C1" s="134" t="s">
        <v>132</v>
      </c>
    </row>
    <row r="2" spans="1:3" x14ac:dyDescent="0.25">
      <c r="A2" s="132" t="s">
        <v>133</v>
      </c>
      <c r="B2" s="3">
        <v>1000</v>
      </c>
      <c r="C2" s="3">
        <v>1000</v>
      </c>
    </row>
    <row r="3" spans="1:3" x14ac:dyDescent="0.25">
      <c r="A3" s="132" t="s">
        <v>134</v>
      </c>
      <c r="B3" s="87">
        <v>0.06</v>
      </c>
      <c r="C3" s="87">
        <v>0.1</v>
      </c>
    </row>
    <row r="4" spans="1:3" x14ac:dyDescent="0.25">
      <c r="A4" s="132" t="s">
        <v>135</v>
      </c>
      <c r="B4">
        <f>B2*B3</f>
        <v>60</v>
      </c>
      <c r="C4">
        <f>C2*C3</f>
        <v>100</v>
      </c>
    </row>
    <row r="5" spans="1:3" x14ac:dyDescent="0.25">
      <c r="A5" s="132" t="s">
        <v>136</v>
      </c>
      <c r="B5">
        <v>1</v>
      </c>
      <c r="C5">
        <v>15</v>
      </c>
    </row>
    <row r="6" spans="1:3" x14ac:dyDescent="0.25">
      <c r="A6" s="132" t="s">
        <v>138</v>
      </c>
      <c r="B6" s="87">
        <v>0.08</v>
      </c>
      <c r="C6" s="87">
        <v>0.08</v>
      </c>
    </row>
    <row r="8" spans="1:3" x14ac:dyDescent="0.25">
      <c r="A8" s="136" t="s">
        <v>137</v>
      </c>
      <c r="B8" s="137">
        <f>-PV(B6,B5,B4)+B2/(1+B6)</f>
        <v>981.48148148148152</v>
      </c>
      <c r="C8" s="137">
        <f>-PV(C6,C5,C4)+C2/(1+C6)^C5</f>
        <v>1171.1895737585276</v>
      </c>
    </row>
    <row r="10" spans="1:3" x14ac:dyDescent="0.25">
      <c r="A10" s="132" t="s">
        <v>139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7"/>
  <sheetViews>
    <sheetView workbookViewId="0">
      <selection activeCell="M17" sqref="M17"/>
    </sheetView>
  </sheetViews>
  <sheetFormatPr defaultColWidth="9.1796875" defaultRowHeight="12.5" x14ac:dyDescent="0.25"/>
  <cols>
    <col min="1" max="1" width="12.26953125" bestFit="1" customWidth="1"/>
  </cols>
  <sheetData>
    <row r="1" spans="1:9" x14ac:dyDescent="0.25">
      <c r="A1" s="132" t="s">
        <v>133</v>
      </c>
      <c r="B1" s="3">
        <v>1000</v>
      </c>
    </row>
    <row r="2" spans="1:9" x14ac:dyDescent="0.25">
      <c r="A2" s="132" t="s">
        <v>134</v>
      </c>
      <c r="B2" s="107">
        <v>8.5000000000000006E-2</v>
      </c>
    </row>
    <row r="3" spans="1:9" x14ac:dyDescent="0.25">
      <c r="A3" s="132" t="s">
        <v>135</v>
      </c>
      <c r="B3">
        <f>B1*B2</f>
        <v>85</v>
      </c>
    </row>
    <row r="4" spans="1:9" x14ac:dyDescent="0.25">
      <c r="A4" s="132" t="s">
        <v>137</v>
      </c>
      <c r="B4">
        <v>855</v>
      </c>
    </row>
    <row r="6" spans="1:9" x14ac:dyDescent="0.25">
      <c r="A6" s="133" t="s">
        <v>0</v>
      </c>
      <c r="B6" s="138">
        <v>0</v>
      </c>
      <c r="C6" s="138">
        <v>1</v>
      </c>
      <c r="D6" s="138">
        <v>2</v>
      </c>
      <c r="E6" s="138">
        <v>3</v>
      </c>
      <c r="F6" s="138">
        <v>4</v>
      </c>
      <c r="G6" s="138">
        <v>5</v>
      </c>
      <c r="H6" s="138">
        <v>6</v>
      </c>
      <c r="I6" s="138">
        <v>7</v>
      </c>
    </row>
    <row r="7" spans="1:9" x14ac:dyDescent="0.25">
      <c r="A7" s="132" t="s">
        <v>19</v>
      </c>
      <c r="B7">
        <f>-B4</f>
        <v>-855</v>
      </c>
      <c r="C7">
        <f>$B$3</f>
        <v>85</v>
      </c>
      <c r="D7">
        <f t="shared" ref="D7:H7" si="0">$B$3</f>
        <v>85</v>
      </c>
      <c r="E7">
        <f t="shared" si="0"/>
        <v>85</v>
      </c>
      <c r="F7">
        <f t="shared" si="0"/>
        <v>85</v>
      </c>
      <c r="G7">
        <f t="shared" si="0"/>
        <v>85</v>
      </c>
      <c r="H7">
        <f t="shared" si="0"/>
        <v>85</v>
      </c>
      <c r="I7" s="3">
        <f>$B$3+B1</f>
        <v>1085</v>
      </c>
    </row>
    <row r="9" spans="1:9" x14ac:dyDescent="0.25">
      <c r="A9" s="132" t="s">
        <v>140</v>
      </c>
      <c r="B9" s="107">
        <f>IRR(B7:I7)</f>
        <v>0.11641137420418346</v>
      </c>
    </row>
    <row r="11" spans="1:9" x14ac:dyDescent="0.25">
      <c r="A11" s="133" t="s">
        <v>0</v>
      </c>
      <c r="B11" s="138">
        <v>0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  <c r="I11" s="138">
        <v>7</v>
      </c>
    </row>
    <row r="12" spans="1:9" x14ac:dyDescent="0.25">
      <c r="A12" s="132" t="s">
        <v>19</v>
      </c>
      <c r="B12">
        <f>-B9</f>
        <v>-0.11641137420418346</v>
      </c>
      <c r="C12">
        <f>$B$3</f>
        <v>85</v>
      </c>
      <c r="D12">
        <f t="shared" ref="D12:H12" si="1">$B$3</f>
        <v>85</v>
      </c>
      <c r="E12">
        <f t="shared" si="1"/>
        <v>85</v>
      </c>
      <c r="F12">
        <f t="shared" si="1"/>
        <v>85</v>
      </c>
      <c r="G12">
        <f t="shared" si="1"/>
        <v>85</v>
      </c>
      <c r="H12">
        <f t="shared" si="1"/>
        <v>85</v>
      </c>
      <c r="I12" s="3">
        <f>$B$3+B1</f>
        <v>1085</v>
      </c>
    </row>
    <row r="14" spans="1:9" x14ac:dyDescent="0.25">
      <c r="A14" s="132" t="s">
        <v>138</v>
      </c>
      <c r="B14" s="107">
        <v>7.4999999999999997E-2</v>
      </c>
    </row>
    <row r="16" spans="1:9" x14ac:dyDescent="0.25">
      <c r="A16" s="133" t="s">
        <v>137</v>
      </c>
      <c r="B16" s="139">
        <f>NPV(B14,C12:I12)</f>
        <v>1052.9660132136157</v>
      </c>
    </row>
    <row r="17" spans="13:13" x14ac:dyDescent="0.25">
      <c r="M17" s="132" t="s">
        <v>169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2"/>
  <sheetViews>
    <sheetView workbookViewId="0">
      <selection activeCell="T35" sqref="T35"/>
    </sheetView>
  </sheetViews>
  <sheetFormatPr defaultColWidth="9.1796875" defaultRowHeight="12.5" x14ac:dyDescent="0.25"/>
  <cols>
    <col min="1" max="1" width="12.26953125" bestFit="1" customWidth="1"/>
  </cols>
  <sheetData>
    <row r="1" spans="1:5" x14ac:dyDescent="0.25">
      <c r="A1" s="132" t="s">
        <v>133</v>
      </c>
      <c r="B1" s="3">
        <v>1000</v>
      </c>
    </row>
    <row r="2" spans="1:5" x14ac:dyDescent="0.25">
      <c r="A2" s="132" t="s">
        <v>134</v>
      </c>
      <c r="B2" s="87">
        <v>0.05</v>
      </c>
    </row>
    <row r="3" spans="1:5" x14ac:dyDescent="0.25">
      <c r="A3" s="132" t="s">
        <v>135</v>
      </c>
      <c r="B3" s="140">
        <f>B1*B2</f>
        <v>50</v>
      </c>
    </row>
    <row r="4" spans="1:5" x14ac:dyDescent="0.25">
      <c r="A4" s="132" t="s">
        <v>136</v>
      </c>
      <c r="B4">
        <v>3</v>
      </c>
    </row>
    <row r="5" spans="1:5" x14ac:dyDescent="0.25">
      <c r="A5" s="132" t="s">
        <v>138</v>
      </c>
      <c r="B5" s="87">
        <v>0.08</v>
      </c>
    </row>
    <row r="7" spans="1:5" x14ac:dyDescent="0.25">
      <c r="A7" s="133" t="s">
        <v>0</v>
      </c>
      <c r="B7" s="143">
        <v>0</v>
      </c>
      <c r="C7" s="138">
        <v>1</v>
      </c>
      <c r="D7" s="138">
        <v>2</v>
      </c>
      <c r="E7" s="138">
        <v>3</v>
      </c>
    </row>
    <row r="8" spans="1:5" x14ac:dyDescent="0.25">
      <c r="A8" s="141" t="s">
        <v>130</v>
      </c>
      <c r="B8" s="142">
        <f>NPV(B5,C8:E8)</f>
        <v>922.6870903825635</v>
      </c>
      <c r="C8" s="140">
        <f>$B$3</f>
        <v>50</v>
      </c>
      <c r="D8" s="140">
        <f t="shared" ref="D8" si="0">$B$3</f>
        <v>50</v>
      </c>
      <c r="E8" s="140">
        <f>$B$3+B1</f>
        <v>1050</v>
      </c>
    </row>
    <row r="9" spans="1:5" x14ac:dyDescent="0.25">
      <c r="A9" s="141" t="s">
        <v>141</v>
      </c>
      <c r="B9" s="142">
        <f>-B8</f>
        <v>-922.6870903825635</v>
      </c>
      <c r="C9" s="140">
        <f>C8</f>
        <v>50</v>
      </c>
      <c r="D9" s="140">
        <f t="shared" ref="D9:E9" si="1">D8</f>
        <v>50</v>
      </c>
      <c r="E9" s="140">
        <f t="shared" si="1"/>
        <v>1050</v>
      </c>
    </row>
    <row r="10" spans="1:5" x14ac:dyDescent="0.25">
      <c r="A10" s="133" t="s">
        <v>142</v>
      </c>
      <c r="B10" s="144">
        <f>IRR(B9:E9)</f>
        <v>7.9999999999985194E-2</v>
      </c>
      <c r="C10" s="140"/>
      <c r="D10" s="140"/>
      <c r="E10" s="140"/>
    </row>
    <row r="11" spans="1:5" x14ac:dyDescent="0.25">
      <c r="A11" s="141"/>
      <c r="B11" s="142"/>
    </row>
    <row r="12" spans="1:5" x14ac:dyDescent="0.25">
      <c r="A12" s="135" t="s">
        <v>143</v>
      </c>
      <c r="B12" s="145">
        <f>(C8/(1+B5)+2*D8/(1+B5)^D7+3*E8/(1+B5)^E7)/B8</f>
        <v>2.8531901713813754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C12" sqref="C12"/>
    </sheetView>
  </sheetViews>
  <sheetFormatPr defaultColWidth="11.453125" defaultRowHeight="12.5" x14ac:dyDescent="0.25"/>
  <cols>
    <col min="1" max="15" width="11.453125" customWidth="1"/>
    <col min="16" max="16" width="11.81640625" customWidth="1"/>
  </cols>
  <sheetData>
    <row r="1" spans="1:4" x14ac:dyDescent="0.25">
      <c r="A1" s="1" t="s">
        <v>5</v>
      </c>
      <c r="B1" s="2">
        <v>0.2</v>
      </c>
    </row>
    <row r="3" spans="1:4" x14ac:dyDescent="0.25">
      <c r="A3" s="4" t="s">
        <v>0</v>
      </c>
      <c r="B3" s="4" t="s">
        <v>7</v>
      </c>
      <c r="C3" s="4" t="s">
        <v>8</v>
      </c>
      <c r="D3" s="4" t="s">
        <v>9</v>
      </c>
    </row>
    <row r="4" spans="1:4" x14ac:dyDescent="0.25">
      <c r="A4" s="13">
        <v>0</v>
      </c>
      <c r="B4" s="14">
        <v>-6000000</v>
      </c>
      <c r="C4" s="14">
        <v>-6000000</v>
      </c>
      <c r="D4" s="14">
        <v>-6000000</v>
      </c>
    </row>
    <row r="5" spans="1:4" x14ac:dyDescent="0.25">
      <c r="A5" s="15">
        <v>1</v>
      </c>
      <c r="B5" s="16">
        <v>2500000</v>
      </c>
      <c r="C5" s="16">
        <v>4000000</v>
      </c>
      <c r="D5" s="16">
        <v>1000000</v>
      </c>
    </row>
    <row r="6" spans="1:4" x14ac:dyDescent="0.25">
      <c r="A6" s="15">
        <v>2</v>
      </c>
      <c r="B6" s="16">
        <v>2500000</v>
      </c>
      <c r="C6" s="16">
        <v>3000000</v>
      </c>
      <c r="D6" s="16">
        <v>2000000</v>
      </c>
    </row>
    <row r="7" spans="1:4" x14ac:dyDescent="0.25">
      <c r="A7" s="15">
        <v>3</v>
      </c>
      <c r="B7" s="16">
        <v>2500000</v>
      </c>
      <c r="C7" s="16">
        <v>2000000</v>
      </c>
      <c r="D7" s="16">
        <v>3000000</v>
      </c>
    </row>
    <row r="8" spans="1:4" x14ac:dyDescent="0.25">
      <c r="A8" s="18">
        <v>4</v>
      </c>
      <c r="B8" s="19">
        <v>2500000</v>
      </c>
      <c r="C8" s="19">
        <v>1000000</v>
      </c>
      <c r="D8" s="19">
        <v>4000000</v>
      </c>
    </row>
    <row r="9" spans="1:4" x14ac:dyDescent="0.25">
      <c r="A9" s="24" t="s">
        <v>6</v>
      </c>
      <c r="B9" s="25">
        <f>B4+NPV($B$1,B5:B8)</f>
        <v>471836.41975308675</v>
      </c>
      <c r="C9" s="25">
        <f>C4+NPV($B$1,C5:C8)</f>
        <v>1056327.1604938284</v>
      </c>
      <c r="D9" s="25">
        <f>D4+NPV($B$1,D5:D8)</f>
        <v>-112654.32098765392</v>
      </c>
    </row>
    <row r="10" spans="1:4" x14ac:dyDescent="0.25">
      <c r="A10" s="23" t="s">
        <v>10</v>
      </c>
      <c r="B10" s="26">
        <f>IRR(B4:B8)</f>
        <v>0.24098855623127258</v>
      </c>
      <c r="C10" s="26">
        <f>IRR(C4:C8)</f>
        <v>0.31383112417353232</v>
      </c>
      <c r="D10" s="26">
        <f>IRR(D4:D8)</f>
        <v>0.19193957130144867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"/>
  <sheetViews>
    <sheetView workbookViewId="0">
      <selection activeCell="D32" sqref="D32"/>
    </sheetView>
  </sheetViews>
  <sheetFormatPr defaultColWidth="9.1796875" defaultRowHeight="12.5" x14ac:dyDescent="0.25"/>
  <cols>
    <col min="1" max="1" width="12.1796875" customWidth="1"/>
  </cols>
  <sheetData>
    <row r="1" spans="1:6" ht="13" x14ac:dyDescent="0.3">
      <c r="A1" s="200" t="s">
        <v>130</v>
      </c>
      <c r="B1" s="201" t="s">
        <v>137</v>
      </c>
      <c r="C1" s="201" t="s">
        <v>170</v>
      </c>
      <c r="D1" s="201" t="s">
        <v>171</v>
      </c>
      <c r="E1" s="201" t="s">
        <v>172</v>
      </c>
      <c r="F1" s="201" t="s">
        <v>140</v>
      </c>
    </row>
    <row r="2" spans="1:6" x14ac:dyDescent="0.25">
      <c r="A2" s="202" t="s">
        <v>131</v>
      </c>
      <c r="B2">
        <v>-748.96</v>
      </c>
      <c r="C2">
        <v>40</v>
      </c>
      <c r="D2">
        <v>840</v>
      </c>
      <c r="F2" s="203">
        <f>IRR(B2:D2)</f>
        <v>8.6075354187087116E-2</v>
      </c>
    </row>
    <row r="3" spans="1:6" x14ac:dyDescent="0.25">
      <c r="A3" s="202" t="s">
        <v>132</v>
      </c>
      <c r="B3" s="204">
        <f>NPV(F3,C3:E3)</f>
        <v>801.0783412792282</v>
      </c>
      <c r="C3">
        <v>72</v>
      </c>
      <c r="D3">
        <v>72</v>
      </c>
      <c r="E3">
        <v>872</v>
      </c>
      <c r="F3" s="203">
        <v>8.9468000000000006E-2</v>
      </c>
    </row>
    <row r="4" spans="1:6" x14ac:dyDescent="0.25">
      <c r="A4" s="202" t="s">
        <v>173</v>
      </c>
      <c r="B4" s="204">
        <f>NPV(F4,C4:E4)</f>
        <v>777.33985369855861</v>
      </c>
      <c r="C4">
        <v>56</v>
      </c>
      <c r="D4">
        <v>856</v>
      </c>
      <c r="F4" s="203">
        <v>8.6014999999999994E-2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B19" sqref="B19"/>
    </sheetView>
  </sheetViews>
  <sheetFormatPr defaultColWidth="11.453125" defaultRowHeight="12.5" x14ac:dyDescent="0.25"/>
  <cols>
    <col min="1" max="1" width="23.26953125" bestFit="1" customWidth="1"/>
    <col min="2" max="2" width="12.81640625" bestFit="1" customWidth="1"/>
  </cols>
  <sheetData>
    <row r="1" spans="1:7" x14ac:dyDescent="0.25">
      <c r="A1" s="40" t="s">
        <v>11</v>
      </c>
      <c r="B1" s="14">
        <v>3000000</v>
      </c>
    </row>
    <row r="2" spans="1:7" x14ac:dyDescent="0.25">
      <c r="A2" s="17" t="s">
        <v>12</v>
      </c>
      <c r="B2" s="16">
        <v>750000</v>
      </c>
    </row>
    <row r="3" spans="1:7" x14ac:dyDescent="0.25">
      <c r="A3" s="17" t="s">
        <v>17</v>
      </c>
      <c r="B3" s="16">
        <v>2500000</v>
      </c>
    </row>
    <row r="4" spans="1:7" x14ac:dyDescent="0.25">
      <c r="A4" s="17" t="s">
        <v>13</v>
      </c>
      <c r="B4" s="16">
        <v>4000</v>
      </c>
    </row>
    <row r="5" spans="1:7" x14ac:dyDescent="0.25">
      <c r="A5" s="17" t="s">
        <v>14</v>
      </c>
      <c r="B5" s="16">
        <v>425</v>
      </c>
    </row>
    <row r="6" spans="1:7" x14ac:dyDescent="0.25">
      <c r="A6" s="17" t="s">
        <v>15</v>
      </c>
      <c r="B6" s="16">
        <v>750000</v>
      </c>
    </row>
    <row r="7" spans="1:7" x14ac:dyDescent="0.25">
      <c r="A7" s="17" t="s">
        <v>16</v>
      </c>
      <c r="B7" s="16">
        <v>350000</v>
      </c>
    </row>
    <row r="8" spans="1:7" x14ac:dyDescent="0.25">
      <c r="A8" s="20" t="s">
        <v>5</v>
      </c>
      <c r="B8" s="41">
        <v>0.1</v>
      </c>
    </row>
    <row r="10" spans="1:7" x14ac:dyDescent="0.25">
      <c r="A10" s="27" t="s">
        <v>0</v>
      </c>
      <c r="B10" s="28">
        <v>0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</row>
    <row r="11" spans="1:7" x14ac:dyDescent="0.25">
      <c r="A11" s="11" t="s">
        <v>11</v>
      </c>
      <c r="B11" s="9">
        <f>-$B$1</f>
        <v>-3000000</v>
      </c>
      <c r="C11" s="11"/>
      <c r="D11" s="11"/>
      <c r="E11" s="11"/>
      <c r="F11" s="11"/>
      <c r="G11" s="9">
        <f>$B$3</f>
        <v>2500000</v>
      </c>
    </row>
    <row r="12" spans="1:7" x14ac:dyDescent="0.25">
      <c r="A12" s="11" t="s">
        <v>12</v>
      </c>
      <c r="B12" s="9">
        <f>-$B$2</f>
        <v>-750000</v>
      </c>
      <c r="C12" s="11"/>
      <c r="D12" s="11"/>
      <c r="E12" s="11"/>
      <c r="F12" s="11"/>
      <c r="G12" s="9">
        <f>$B$2</f>
        <v>750000</v>
      </c>
    </row>
    <row r="13" spans="1:7" x14ac:dyDescent="0.25">
      <c r="A13" s="11" t="s">
        <v>18</v>
      </c>
      <c r="B13" s="34"/>
      <c r="C13" s="34">
        <f>$B$4*$B$5</f>
        <v>1700000</v>
      </c>
      <c r="D13" s="34">
        <f>$B$4*$B$5</f>
        <v>1700000</v>
      </c>
      <c r="E13" s="34">
        <f>$B$4*$B$5</f>
        <v>1700000</v>
      </c>
      <c r="F13" s="34">
        <f>$B$4*$B$5</f>
        <v>1700000</v>
      </c>
      <c r="G13" s="34">
        <f>$B$4*$B$5</f>
        <v>1700000</v>
      </c>
    </row>
    <row r="14" spans="1:7" x14ac:dyDescent="0.25">
      <c r="A14" s="11" t="s">
        <v>15</v>
      </c>
      <c r="B14" s="11"/>
      <c r="C14" s="9">
        <f>-$B$6</f>
        <v>-750000</v>
      </c>
      <c r="D14" s="9">
        <f>-$B$6</f>
        <v>-750000</v>
      </c>
      <c r="E14" s="9">
        <f>-$B$6</f>
        <v>-750000</v>
      </c>
      <c r="F14" s="9">
        <f>-$B$6</f>
        <v>-750000</v>
      </c>
      <c r="G14" s="9">
        <f>-$B$6</f>
        <v>-750000</v>
      </c>
    </row>
    <row r="15" spans="1:7" x14ac:dyDescent="0.25">
      <c r="A15" s="12" t="s">
        <v>16</v>
      </c>
      <c r="B15" s="12"/>
      <c r="C15" s="10">
        <f>-$B$7</f>
        <v>-350000</v>
      </c>
      <c r="D15" s="10">
        <f>-$B$7</f>
        <v>-350000</v>
      </c>
      <c r="E15" s="10">
        <f>-$B$7</f>
        <v>-350000</v>
      </c>
      <c r="F15" s="10">
        <f>-$B$7</f>
        <v>-350000</v>
      </c>
      <c r="G15" s="10">
        <f>-$B$7</f>
        <v>-350000</v>
      </c>
    </row>
    <row r="16" spans="1:7" x14ac:dyDescent="0.25">
      <c r="A16" s="23" t="s">
        <v>19</v>
      </c>
      <c r="B16" s="36">
        <f t="shared" ref="B16:G16" si="0">SUM(B11:B15)</f>
        <v>-3750000</v>
      </c>
      <c r="C16" s="36">
        <f t="shared" si="0"/>
        <v>600000</v>
      </c>
      <c r="D16" s="36">
        <f t="shared" si="0"/>
        <v>600000</v>
      </c>
      <c r="E16" s="36">
        <f t="shared" si="0"/>
        <v>600000</v>
      </c>
      <c r="F16" s="36">
        <f t="shared" si="0"/>
        <v>600000</v>
      </c>
      <c r="G16" s="36">
        <f t="shared" si="0"/>
        <v>3850000</v>
      </c>
    </row>
    <row r="18" spans="1:2" x14ac:dyDescent="0.25">
      <c r="A18" s="38" t="s">
        <v>6</v>
      </c>
      <c r="B18" s="14">
        <f>B16+NPV(B8,C16:G16)</f>
        <v>542466.36158732139</v>
      </c>
    </row>
    <row r="19" spans="1:2" x14ac:dyDescent="0.25">
      <c r="A19" s="39" t="s">
        <v>10</v>
      </c>
      <c r="B19" s="42">
        <f>IRR(B16:G16)</f>
        <v>0.13982173000146747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6"/>
  <sheetViews>
    <sheetView workbookViewId="0">
      <selection activeCell="B5" sqref="B5"/>
    </sheetView>
  </sheetViews>
  <sheetFormatPr defaultColWidth="11.453125" defaultRowHeight="12.5" x14ac:dyDescent="0.25"/>
  <cols>
    <col min="1" max="1" width="19.7265625" bestFit="1" customWidth="1"/>
    <col min="2" max="2" width="11.453125" customWidth="1"/>
    <col min="3" max="12" width="7.54296875" customWidth="1"/>
  </cols>
  <sheetData>
    <row r="1" spans="1:12" x14ac:dyDescent="0.25">
      <c r="A1" s="40" t="s">
        <v>20</v>
      </c>
      <c r="B1" s="14">
        <v>800000</v>
      </c>
    </row>
    <row r="2" spans="1:12" x14ac:dyDescent="0.25">
      <c r="A2" s="17" t="s">
        <v>21</v>
      </c>
      <c r="B2" s="16">
        <v>900000</v>
      </c>
    </row>
    <row r="3" spans="1:12" x14ac:dyDescent="0.25">
      <c r="A3" s="17" t="s">
        <v>22</v>
      </c>
      <c r="B3" s="16">
        <v>4300000</v>
      </c>
    </row>
    <row r="4" spans="1:12" x14ac:dyDescent="0.25">
      <c r="A4" s="17" t="s">
        <v>23</v>
      </c>
      <c r="B4" s="16">
        <v>200000</v>
      </c>
    </row>
    <row r="5" spans="1:12" x14ac:dyDescent="0.25">
      <c r="A5" s="17" t="s">
        <v>5</v>
      </c>
      <c r="B5" s="48">
        <v>0.12</v>
      </c>
    </row>
    <row r="6" spans="1:12" x14ac:dyDescent="0.25">
      <c r="A6" s="20" t="s">
        <v>24</v>
      </c>
      <c r="B6" s="20">
        <v>10</v>
      </c>
    </row>
    <row r="8" spans="1:12" x14ac:dyDescent="0.25">
      <c r="A8" s="35" t="s">
        <v>0</v>
      </c>
      <c r="B8" s="4">
        <v>0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</row>
    <row r="9" spans="1:12" x14ac:dyDescent="0.25">
      <c r="A9" s="43" t="s">
        <v>22</v>
      </c>
      <c r="B9" s="45">
        <f>-$B$3</f>
        <v>-4300000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30" t="s">
        <v>25</v>
      </c>
      <c r="B10" s="46">
        <f>$B$2</f>
        <v>900000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30" t="s">
        <v>26</v>
      </c>
      <c r="B11" s="46">
        <f>-$B$4</f>
        <v>-200000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32" t="s">
        <v>20</v>
      </c>
      <c r="B12" s="12"/>
      <c r="C12" s="10">
        <f>$B$1</f>
        <v>800000</v>
      </c>
      <c r="D12" s="10">
        <f t="shared" ref="D12:L12" si="0">$B$1</f>
        <v>800000</v>
      </c>
      <c r="E12" s="10">
        <f t="shared" si="0"/>
        <v>800000</v>
      </c>
      <c r="F12" s="10">
        <f t="shared" si="0"/>
        <v>800000</v>
      </c>
      <c r="G12" s="10">
        <f t="shared" si="0"/>
        <v>800000</v>
      </c>
      <c r="H12" s="10">
        <f t="shared" si="0"/>
        <v>800000</v>
      </c>
      <c r="I12" s="10">
        <f t="shared" si="0"/>
        <v>800000</v>
      </c>
      <c r="J12" s="10">
        <f t="shared" si="0"/>
        <v>800000</v>
      </c>
      <c r="K12" s="10">
        <f t="shared" si="0"/>
        <v>800000</v>
      </c>
      <c r="L12" s="10">
        <f t="shared" si="0"/>
        <v>800000</v>
      </c>
    </row>
    <row r="13" spans="1:12" x14ac:dyDescent="0.25">
      <c r="A13" s="47" t="s">
        <v>19</v>
      </c>
      <c r="B13" s="36">
        <f>SUM(B9:B12)</f>
        <v>-3600000</v>
      </c>
      <c r="C13" s="36">
        <f t="shared" ref="C13:L13" si="1">SUM(C9:C12)</f>
        <v>800000</v>
      </c>
      <c r="D13" s="36">
        <f t="shared" si="1"/>
        <v>800000</v>
      </c>
      <c r="E13" s="36">
        <f>SUM(E9:E12)</f>
        <v>800000</v>
      </c>
      <c r="F13" s="36">
        <f t="shared" si="1"/>
        <v>800000</v>
      </c>
      <c r="G13" s="36">
        <f t="shared" si="1"/>
        <v>800000</v>
      </c>
      <c r="H13" s="36">
        <f t="shared" si="1"/>
        <v>800000</v>
      </c>
      <c r="I13" s="36">
        <f t="shared" si="1"/>
        <v>800000</v>
      </c>
      <c r="J13" s="36">
        <f t="shared" si="1"/>
        <v>800000</v>
      </c>
      <c r="K13" s="36">
        <f t="shared" si="1"/>
        <v>800000</v>
      </c>
      <c r="L13" s="36">
        <f t="shared" si="1"/>
        <v>800000</v>
      </c>
    </row>
    <row r="15" spans="1:12" x14ac:dyDescent="0.25">
      <c r="A15" s="38" t="s">
        <v>6</v>
      </c>
      <c r="B15" s="14">
        <f>B13+NPV($B$5,C13:L13)</f>
        <v>920178.42272868939</v>
      </c>
    </row>
    <row r="16" spans="1:12" x14ac:dyDescent="0.25">
      <c r="A16" s="39" t="s">
        <v>10</v>
      </c>
      <c r="B16" s="42">
        <f>IRR(B13:L13)</f>
        <v>0.17963013847578102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"/>
  <sheetViews>
    <sheetView tabSelected="1" workbookViewId="0">
      <selection activeCell="D22" sqref="D22"/>
    </sheetView>
  </sheetViews>
  <sheetFormatPr defaultColWidth="11.453125" defaultRowHeight="12.5" x14ac:dyDescent="0.25"/>
  <cols>
    <col min="1" max="1" width="23.26953125" bestFit="1" customWidth="1"/>
    <col min="2" max="2" width="17.36328125" customWidth="1"/>
  </cols>
  <sheetData>
    <row r="1" spans="1:8" x14ac:dyDescent="0.25">
      <c r="A1" s="40" t="s">
        <v>28</v>
      </c>
      <c r="B1" s="14">
        <v>1750000</v>
      </c>
    </row>
    <row r="2" spans="1:8" x14ac:dyDescent="0.25">
      <c r="A2" s="17" t="s">
        <v>29</v>
      </c>
      <c r="B2" s="16">
        <v>950000</v>
      </c>
    </row>
    <row r="3" spans="1:8" x14ac:dyDescent="0.25">
      <c r="A3" s="17" t="s">
        <v>27</v>
      </c>
      <c r="B3" s="16">
        <v>205000</v>
      </c>
    </row>
    <row r="4" spans="1:8" x14ac:dyDescent="0.25">
      <c r="A4" s="20" t="s">
        <v>5</v>
      </c>
      <c r="B4" s="49">
        <v>0.1</v>
      </c>
    </row>
    <row r="6" spans="1:8" x14ac:dyDescent="0.25">
      <c r="A6" s="27" t="s">
        <v>0</v>
      </c>
      <c r="B6" s="28">
        <v>0</v>
      </c>
      <c r="C6" s="4">
        <v>1</v>
      </c>
      <c r="D6" s="4">
        <v>2</v>
      </c>
      <c r="E6" s="44">
        <v>3</v>
      </c>
      <c r="F6" s="4">
        <v>4</v>
      </c>
      <c r="G6" s="4">
        <v>5</v>
      </c>
      <c r="H6" s="4">
        <v>6</v>
      </c>
    </row>
    <row r="7" spans="1:8" x14ac:dyDescent="0.25">
      <c r="A7" s="37" t="s">
        <v>30</v>
      </c>
      <c r="B7" s="8">
        <f>$B$1</f>
        <v>1750000</v>
      </c>
      <c r="C7" s="37"/>
      <c r="D7" s="37"/>
      <c r="E7" s="37"/>
      <c r="F7" s="37"/>
      <c r="G7" s="37"/>
      <c r="H7" s="37"/>
    </row>
    <row r="8" spans="1:8" x14ac:dyDescent="0.25">
      <c r="A8" s="23" t="s">
        <v>19</v>
      </c>
      <c r="B8" s="36">
        <f>SUM(B7:B7)</f>
        <v>1750000</v>
      </c>
      <c r="C8" s="36">
        <f>SUM(C7:C7)</f>
        <v>0</v>
      </c>
      <c r="D8" s="36">
        <f>SUM(D7:D7)</f>
        <v>0</v>
      </c>
      <c r="E8" s="36">
        <f>SUM(E7:E7)</f>
        <v>0</v>
      </c>
      <c r="F8" s="36">
        <f>SUM(F7:F7)</f>
        <v>0</v>
      </c>
      <c r="G8" s="36">
        <f>SUM(G7:G7)</f>
        <v>0</v>
      </c>
      <c r="H8" s="36">
        <f>SUM(H7:H7)</f>
        <v>0</v>
      </c>
    </row>
    <row r="10" spans="1:8" x14ac:dyDescent="0.25">
      <c r="A10" s="38" t="s">
        <v>6</v>
      </c>
      <c r="B10" s="14">
        <f>B8+NPV(B4,C8:H8)</f>
        <v>1750000</v>
      </c>
    </row>
    <row r="14" spans="1:8" x14ac:dyDescent="0.25">
      <c r="A14" s="27" t="s">
        <v>0</v>
      </c>
      <c r="B14" s="28">
        <v>0</v>
      </c>
      <c r="C14" s="4">
        <v>1</v>
      </c>
      <c r="D14" s="4">
        <v>2</v>
      </c>
      <c r="E14" s="44">
        <v>3</v>
      </c>
      <c r="F14" s="4">
        <v>4</v>
      </c>
      <c r="G14" s="4">
        <v>5</v>
      </c>
      <c r="H14" s="4">
        <v>6</v>
      </c>
    </row>
    <row r="15" spans="1:8" x14ac:dyDescent="0.25">
      <c r="A15" s="11" t="s">
        <v>31</v>
      </c>
      <c r="B15" s="11"/>
      <c r="C15" s="9">
        <f t="shared" ref="C15:H15" si="0">$B$3</f>
        <v>205000</v>
      </c>
      <c r="D15" s="9">
        <f t="shared" si="0"/>
        <v>205000</v>
      </c>
      <c r="E15" s="9">
        <f t="shared" si="0"/>
        <v>205000</v>
      </c>
      <c r="F15" s="9">
        <f t="shared" si="0"/>
        <v>205000</v>
      </c>
      <c r="G15" s="9">
        <f t="shared" si="0"/>
        <v>205000</v>
      </c>
      <c r="H15" s="9">
        <f t="shared" si="0"/>
        <v>205000</v>
      </c>
    </row>
    <row r="16" spans="1:8" x14ac:dyDescent="0.25">
      <c r="A16" s="12" t="s">
        <v>32</v>
      </c>
      <c r="B16" s="12"/>
      <c r="C16" s="12"/>
      <c r="D16" s="12"/>
      <c r="E16" s="12"/>
      <c r="F16" s="12"/>
      <c r="G16" s="12"/>
      <c r="H16" s="10">
        <f>B2</f>
        <v>950000</v>
      </c>
    </row>
    <row r="17" spans="1:8" x14ac:dyDescent="0.25">
      <c r="A17" s="23" t="s">
        <v>19</v>
      </c>
      <c r="B17" s="36">
        <f>SUM(B15:B16)</f>
        <v>0</v>
      </c>
      <c r="C17" s="36">
        <f>SUM(C15:C16)</f>
        <v>205000</v>
      </c>
      <c r="D17" s="36">
        <f>SUM(D15:D16)</f>
        <v>205000</v>
      </c>
      <c r="E17" s="36">
        <f>SUM(E15:E16)</f>
        <v>205000</v>
      </c>
      <c r="F17" s="36">
        <f>SUM(F15:F16)</f>
        <v>205000</v>
      </c>
      <c r="G17" s="36">
        <f>SUM(G15:G16)</f>
        <v>205000</v>
      </c>
      <c r="H17" s="36">
        <f>SUM(H15:H16)</f>
        <v>1155000</v>
      </c>
    </row>
    <row r="19" spans="1:8" x14ac:dyDescent="0.25">
      <c r="A19" s="38" t="s">
        <v>6</v>
      </c>
      <c r="B19" s="14">
        <f>NPV(B4,C17:H17)</f>
        <v>1429078.6769408444</v>
      </c>
    </row>
    <row r="21" spans="1:8" x14ac:dyDescent="0.25">
      <c r="B21" s="205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"/>
  <sheetViews>
    <sheetView topLeftCell="XEM1" workbookViewId="0">
      <selection activeCell="XFD16" sqref="XFD16"/>
    </sheetView>
  </sheetViews>
  <sheetFormatPr defaultColWidth="11.453125" defaultRowHeight="12.5" x14ac:dyDescent="0.25"/>
  <cols>
    <col min="1" max="1" width="25.81640625" bestFit="1" customWidth="1"/>
    <col min="2" max="2" width="11.81640625" customWidth="1"/>
    <col min="3" max="3" width="13.81640625" bestFit="1" customWidth="1"/>
    <col min="4" max="4" width="11.81640625" customWidth="1"/>
    <col min="5" max="6" width="11.81640625" bestFit="1" customWidth="1"/>
  </cols>
  <sheetData>
    <row r="1" spans="1:7" x14ac:dyDescent="0.25">
      <c r="A1" s="40" t="s">
        <v>34</v>
      </c>
      <c r="B1" s="40">
        <v>14</v>
      </c>
    </row>
    <row r="2" spans="1:7" x14ac:dyDescent="0.25">
      <c r="A2" s="17" t="s">
        <v>35</v>
      </c>
      <c r="B2" s="17">
        <v>10</v>
      </c>
    </row>
    <row r="3" spans="1:7" x14ac:dyDescent="0.25">
      <c r="A3" s="17" t="s">
        <v>33</v>
      </c>
      <c r="B3" s="16">
        <v>4500000</v>
      </c>
    </row>
    <row r="4" spans="1:7" x14ac:dyDescent="0.25">
      <c r="A4" s="17" t="s">
        <v>39</v>
      </c>
      <c r="B4" s="16">
        <v>3800000</v>
      </c>
    </row>
    <row r="5" spans="1:7" x14ac:dyDescent="0.25">
      <c r="A5" s="17" t="s">
        <v>36</v>
      </c>
      <c r="B5" s="17">
        <v>60</v>
      </c>
    </row>
    <row r="6" spans="1:7" x14ac:dyDescent="0.25">
      <c r="A6" s="17" t="s">
        <v>37</v>
      </c>
      <c r="B6" s="17">
        <v>40</v>
      </c>
    </row>
    <row r="7" spans="1:7" x14ac:dyDescent="0.25">
      <c r="A7" s="17" t="s">
        <v>33</v>
      </c>
      <c r="B7" s="16">
        <v>2750000</v>
      </c>
    </row>
    <row r="8" spans="1:7" x14ac:dyDescent="0.25">
      <c r="A8" s="17" t="s">
        <v>40</v>
      </c>
      <c r="B8" s="16">
        <v>1800000</v>
      </c>
    </row>
    <row r="9" spans="1:7" x14ac:dyDescent="0.25">
      <c r="A9" s="17" t="s">
        <v>38</v>
      </c>
      <c r="B9" s="16">
        <v>60000000</v>
      </c>
    </row>
    <row r="10" spans="1:7" x14ac:dyDescent="0.25">
      <c r="A10" s="20" t="s">
        <v>5</v>
      </c>
      <c r="B10" s="55">
        <v>0.1</v>
      </c>
    </row>
    <row r="12" spans="1:7" x14ac:dyDescent="0.25">
      <c r="A12" s="27" t="s">
        <v>0</v>
      </c>
      <c r="B12" s="28">
        <v>0</v>
      </c>
      <c r="C12" s="4">
        <v>1</v>
      </c>
      <c r="D12" s="4">
        <v>2</v>
      </c>
      <c r="E12" s="4">
        <v>3</v>
      </c>
      <c r="F12" s="4">
        <v>4</v>
      </c>
      <c r="G12" s="4">
        <v>5</v>
      </c>
    </row>
    <row r="13" spans="1:7" x14ac:dyDescent="0.25">
      <c r="A13" s="37" t="s">
        <v>38</v>
      </c>
      <c r="B13" s="53">
        <f>-$B$9/2</f>
        <v>-30000000</v>
      </c>
      <c r="C13" s="37"/>
      <c r="D13" s="53">
        <f>-$B$9/2</f>
        <v>-30000000</v>
      </c>
      <c r="E13" s="37"/>
      <c r="F13" s="37"/>
      <c r="G13" s="37"/>
    </row>
    <row r="14" spans="1:7" x14ac:dyDescent="0.25">
      <c r="A14" s="11" t="s">
        <v>39</v>
      </c>
      <c r="B14" s="11"/>
      <c r="C14" s="34">
        <f>-$B$1*$B$4/2</f>
        <v>-26600000</v>
      </c>
      <c r="D14" s="34">
        <f>-$B$1*$B$4/2</f>
        <v>-26600000</v>
      </c>
      <c r="E14" s="34">
        <f>-$B$2*$B$4/2</f>
        <v>-19000000</v>
      </c>
      <c r="F14" s="34">
        <f>-$B$2*$B$4/2</f>
        <v>-19000000</v>
      </c>
      <c r="G14" s="11"/>
    </row>
    <row r="15" spans="1:7" x14ac:dyDescent="0.25">
      <c r="A15" s="11" t="s">
        <v>40</v>
      </c>
      <c r="B15" s="11"/>
      <c r="C15" s="34">
        <f>-$B$5*$B$8/2</f>
        <v>-54000000</v>
      </c>
      <c r="D15" s="34">
        <f>-$B$5*$B$8/2</f>
        <v>-54000000</v>
      </c>
      <c r="E15" s="34">
        <f>-$B$6*$B$8/2</f>
        <v>-36000000</v>
      </c>
      <c r="F15" s="34">
        <f>-$B$6*$B$8/2</f>
        <v>-36000000</v>
      </c>
      <c r="G15" s="11"/>
    </row>
    <row r="16" spans="1:7" x14ac:dyDescent="0.25">
      <c r="A16" s="11" t="s">
        <v>41</v>
      </c>
      <c r="B16" s="11"/>
      <c r="C16" s="34"/>
      <c r="D16" s="34">
        <f>($B$1+$B$2)*$B$3/4</f>
        <v>27000000</v>
      </c>
      <c r="E16" s="34">
        <f>($B$1+$B$2)*$B$3/4</f>
        <v>27000000</v>
      </c>
      <c r="F16" s="34">
        <f>($B$1+$B$2)*$B$3/4</f>
        <v>27000000</v>
      </c>
      <c r="G16" s="34">
        <f>($B$1+$B$2)*$B$3/4</f>
        <v>27000000</v>
      </c>
    </row>
    <row r="17" spans="1:7" x14ac:dyDescent="0.25">
      <c r="A17" s="12" t="s">
        <v>42</v>
      </c>
      <c r="B17" s="12"/>
      <c r="C17" s="12"/>
      <c r="D17" s="52">
        <f>($B$5+$B$6)*$B$7/4</f>
        <v>68750000</v>
      </c>
      <c r="E17" s="52">
        <f>($B$5+$B$6)*$B$7/4</f>
        <v>68750000</v>
      </c>
      <c r="F17" s="52">
        <f>($B$5+$B$6)*$B$7/4</f>
        <v>68750000</v>
      </c>
      <c r="G17" s="52">
        <f>($B$5+$B$6)*$B$7/4</f>
        <v>68750000</v>
      </c>
    </row>
    <row r="18" spans="1:7" x14ac:dyDescent="0.25">
      <c r="A18" s="23" t="s">
        <v>19</v>
      </c>
      <c r="B18" s="54">
        <f t="shared" ref="B18:G18" si="0">SUM(B13:B17)</f>
        <v>-30000000</v>
      </c>
      <c r="C18" s="54">
        <f t="shared" si="0"/>
        <v>-80600000</v>
      </c>
      <c r="D18" s="54">
        <f t="shared" si="0"/>
        <v>-14850000</v>
      </c>
      <c r="E18" s="54">
        <f t="shared" si="0"/>
        <v>40750000</v>
      </c>
      <c r="F18" s="54">
        <f t="shared" si="0"/>
        <v>40750000</v>
      </c>
      <c r="G18" s="54">
        <f t="shared" si="0"/>
        <v>95750000</v>
      </c>
    </row>
    <row r="20" spans="1:7" x14ac:dyDescent="0.25">
      <c r="A20" s="38" t="s">
        <v>6</v>
      </c>
      <c r="B20" s="56">
        <f>B18+NPV($B$10,C18:G18)</f>
        <v>2356638.580325447</v>
      </c>
    </row>
    <row r="21" spans="1:7" x14ac:dyDescent="0.25">
      <c r="A21" s="39" t="s">
        <v>43</v>
      </c>
      <c r="B21" s="41">
        <f>IRR(B18:G18)</f>
        <v>0.10655761150519005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"/>
  <sheetViews>
    <sheetView workbookViewId="0">
      <selection activeCell="I30" sqref="I30"/>
    </sheetView>
  </sheetViews>
  <sheetFormatPr defaultColWidth="11.453125" defaultRowHeight="12.5" x14ac:dyDescent="0.25"/>
  <cols>
    <col min="1" max="1" width="13.453125" bestFit="1" customWidth="1"/>
  </cols>
  <sheetData>
    <row r="1" spans="1:7" x14ac:dyDescent="0.25">
      <c r="A1" s="35" t="s">
        <v>0</v>
      </c>
      <c r="B1" s="4">
        <v>0</v>
      </c>
      <c r="C1" s="4">
        <v>1</v>
      </c>
      <c r="D1" s="4">
        <v>2</v>
      </c>
      <c r="E1" s="4">
        <v>3</v>
      </c>
      <c r="F1" s="13" t="s">
        <v>6</v>
      </c>
      <c r="G1" s="86" t="s">
        <v>10</v>
      </c>
    </row>
    <row r="2" spans="1:7" x14ac:dyDescent="0.25">
      <c r="A2" s="43" t="s">
        <v>44</v>
      </c>
      <c r="B2" s="8">
        <v>-620000</v>
      </c>
      <c r="C2" s="8">
        <v>150000</v>
      </c>
      <c r="D2" s="8">
        <v>250000</v>
      </c>
      <c r="E2" s="61">
        <v>370000</v>
      </c>
      <c r="F2" s="59">
        <f>B2+NPV($B$6,C2:E2)</f>
        <v>69234.423928301432</v>
      </c>
      <c r="G2" s="63">
        <f>IRR(B2:E2)</f>
        <v>0.1007655265218188</v>
      </c>
    </row>
    <row r="3" spans="1:7" x14ac:dyDescent="0.25">
      <c r="A3" s="32" t="s">
        <v>45</v>
      </c>
      <c r="B3" s="10">
        <v>-280000</v>
      </c>
      <c r="C3" s="10">
        <v>150000</v>
      </c>
      <c r="D3" s="10">
        <v>100000</v>
      </c>
      <c r="E3" s="62">
        <v>100000</v>
      </c>
      <c r="F3" s="60">
        <f>B3+NPV($B$6,C3:E3)</f>
        <v>39943.850556095422</v>
      </c>
      <c r="G3" s="64">
        <f>IRR(B3:E3)</f>
        <v>0.13082591222663509</v>
      </c>
    </row>
    <row r="4" spans="1:7" x14ac:dyDescent="0.25">
      <c r="A4" s="57" t="s">
        <v>46</v>
      </c>
      <c r="B4" s="22">
        <f>B2-B3</f>
        <v>-340000</v>
      </c>
      <c r="C4" s="22">
        <f>C2-C3</f>
        <v>0</v>
      </c>
      <c r="D4" s="22">
        <f>D2-D3</f>
        <v>150000</v>
      </c>
      <c r="E4" s="22">
        <f>E2-E3</f>
        <v>270000</v>
      </c>
      <c r="F4" s="36">
        <f>F2-F3</f>
        <v>29290.57337220601</v>
      </c>
      <c r="G4" s="58">
        <f>IRR(B4:E4)</f>
        <v>8.3543305815493518E-2</v>
      </c>
    </row>
    <row r="6" spans="1:7" x14ac:dyDescent="0.25">
      <c r="A6" s="65" t="s">
        <v>47</v>
      </c>
      <c r="B6" s="2">
        <v>0.05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8"/>
  <sheetViews>
    <sheetView workbookViewId="0">
      <selection activeCell="B13" sqref="B13"/>
    </sheetView>
  </sheetViews>
  <sheetFormatPr defaultColWidth="11.453125" defaultRowHeight="12.5" x14ac:dyDescent="0.25"/>
  <cols>
    <col min="1" max="1" width="19.7265625" bestFit="1" customWidth="1"/>
    <col min="2" max="3" width="10.26953125" customWidth="1"/>
  </cols>
  <sheetData>
    <row r="1" spans="1:3" x14ac:dyDescent="0.25">
      <c r="A1" s="66" t="s">
        <v>48</v>
      </c>
      <c r="B1" s="67">
        <v>0.12</v>
      </c>
    </row>
    <row r="2" spans="1:3" x14ac:dyDescent="0.25">
      <c r="A2" s="68" t="s">
        <v>49</v>
      </c>
      <c r="B2" s="17">
        <f>(((1+$B$1)^14)-1)/($B$1*(1+$B$1)^14)</f>
        <v>6.6281682282008072</v>
      </c>
    </row>
    <row r="3" spans="1:3" x14ac:dyDescent="0.25">
      <c r="A3" s="68" t="s">
        <v>50</v>
      </c>
      <c r="B3" s="17">
        <f>(((1+$B$1)^15)-1)/($B$1*(1+$B$1)^15)</f>
        <v>6.8108644894650059</v>
      </c>
    </row>
    <row r="4" spans="1:3" x14ac:dyDescent="0.25">
      <c r="A4" s="68" t="s">
        <v>51</v>
      </c>
      <c r="B4" s="17">
        <f>1/(1+$B$1)^15</f>
        <v>0.18269626126419927</v>
      </c>
    </row>
    <row r="5" spans="1:3" x14ac:dyDescent="0.25">
      <c r="A5" s="69" t="s">
        <v>52</v>
      </c>
      <c r="B5" s="19">
        <v>190000</v>
      </c>
      <c r="C5" s="3"/>
    </row>
    <row r="7" spans="1:3" x14ac:dyDescent="0.25">
      <c r="A7" s="65" t="s">
        <v>53</v>
      </c>
      <c r="B7" s="70">
        <f>B5*B3</f>
        <v>1294064.2529983511</v>
      </c>
      <c r="C7" s="29"/>
    </row>
    <row r="9" spans="1:3" x14ac:dyDescent="0.25">
      <c r="B9" s="4" t="s">
        <v>54</v>
      </c>
      <c r="C9" s="4" t="s">
        <v>55</v>
      </c>
    </row>
    <row r="10" spans="1:3" x14ac:dyDescent="0.25">
      <c r="A10" s="37" t="s">
        <v>56</v>
      </c>
      <c r="B10" s="8">
        <v>1050000</v>
      </c>
      <c r="C10" s="8">
        <v>1270000</v>
      </c>
    </row>
    <row r="11" spans="1:3" x14ac:dyDescent="0.25">
      <c r="A11" s="12" t="s">
        <v>57</v>
      </c>
      <c r="B11" s="10">
        <v>-600000</v>
      </c>
      <c r="C11" s="10">
        <v>-750000</v>
      </c>
    </row>
    <row r="12" spans="1:3" x14ac:dyDescent="0.25">
      <c r="A12" s="20" t="s">
        <v>58</v>
      </c>
      <c r="B12" s="19">
        <f>SUM(B10:B11)</f>
        <v>450000</v>
      </c>
      <c r="C12" s="19">
        <f>SUM(C10:C11)</f>
        <v>520000</v>
      </c>
    </row>
    <row r="13" spans="1:3" x14ac:dyDescent="0.25">
      <c r="A13" s="1" t="s">
        <v>59</v>
      </c>
      <c r="B13" s="73">
        <f>B12-40000</f>
        <v>410000</v>
      </c>
      <c r="C13" s="73">
        <f>C12-300000</f>
        <v>220000</v>
      </c>
    </row>
    <row r="14" spans="1:3" x14ac:dyDescent="0.25">
      <c r="A14" s="37"/>
      <c r="B14" s="37"/>
      <c r="C14" s="37"/>
    </row>
    <row r="15" spans="1:3" x14ac:dyDescent="0.25">
      <c r="A15" s="21" t="s">
        <v>60</v>
      </c>
      <c r="B15" s="22">
        <v>-1800000</v>
      </c>
      <c r="C15" s="22">
        <v>-2160000</v>
      </c>
    </row>
    <row r="16" spans="1:3" x14ac:dyDescent="0.25">
      <c r="A16" s="71"/>
      <c r="B16" s="71"/>
      <c r="C16" s="71"/>
    </row>
    <row r="17" spans="1:3" x14ac:dyDescent="0.25">
      <c r="A17" s="11"/>
      <c r="B17" s="11"/>
      <c r="C17" s="11"/>
    </row>
    <row r="18" spans="1:3" x14ac:dyDescent="0.25">
      <c r="A18" s="21" t="s">
        <v>6</v>
      </c>
      <c r="B18" s="72">
        <f>B15+(B12*B2)+B13*B4</f>
        <v>1257581.1698086851</v>
      </c>
      <c r="C18" s="72">
        <f>C15+(C12*B2)+C13*B4</f>
        <v>1326840.6561425435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workbookViewId="0">
      <selection activeCell="G3" sqref="G3"/>
    </sheetView>
  </sheetViews>
  <sheetFormatPr defaultColWidth="9.1796875" defaultRowHeight="12.5" x14ac:dyDescent="0.25"/>
  <cols>
    <col min="1" max="1" width="26.81640625" bestFit="1" customWidth="1"/>
    <col min="2" max="6" width="9.7265625" bestFit="1" customWidth="1"/>
  </cols>
  <sheetData>
    <row r="1" spans="1:6" x14ac:dyDescent="0.25">
      <c r="A1" s="151" t="s">
        <v>75</v>
      </c>
      <c r="B1" s="146">
        <v>4500000</v>
      </c>
    </row>
    <row r="2" spans="1:6" x14ac:dyDescent="0.25">
      <c r="A2" s="152" t="s">
        <v>17</v>
      </c>
      <c r="B2" s="147">
        <v>0.8</v>
      </c>
    </row>
    <row r="3" spans="1:6" x14ac:dyDescent="0.25">
      <c r="A3" s="152" t="s">
        <v>76</v>
      </c>
      <c r="B3" s="148">
        <v>2500000</v>
      </c>
    </row>
    <row r="4" spans="1:6" x14ac:dyDescent="0.25">
      <c r="A4" s="152" t="s">
        <v>77</v>
      </c>
      <c r="B4" s="147">
        <v>0.5</v>
      </c>
    </row>
    <row r="5" spans="1:6" x14ac:dyDescent="0.25">
      <c r="A5" s="152" t="s">
        <v>78</v>
      </c>
      <c r="B5" s="148">
        <v>250000</v>
      </c>
    </row>
    <row r="6" spans="1:6" x14ac:dyDescent="0.25">
      <c r="A6" s="152"/>
      <c r="B6" s="149"/>
    </row>
    <row r="7" spans="1:6" x14ac:dyDescent="0.25">
      <c r="A7" s="152" t="s">
        <v>79</v>
      </c>
      <c r="B7" s="148">
        <v>8000000</v>
      </c>
    </row>
    <row r="8" spans="1:6" x14ac:dyDescent="0.25">
      <c r="A8" s="152" t="s">
        <v>17</v>
      </c>
      <c r="B8" s="147">
        <v>0.75</v>
      </c>
    </row>
    <row r="9" spans="1:6" x14ac:dyDescent="0.25">
      <c r="A9" s="152" t="s">
        <v>76</v>
      </c>
      <c r="B9" s="148">
        <v>3750000</v>
      </c>
    </row>
    <row r="10" spans="1:6" x14ac:dyDescent="0.25">
      <c r="A10" s="152" t="s">
        <v>77</v>
      </c>
      <c r="B10" s="147">
        <f>1500000/B9</f>
        <v>0.4</v>
      </c>
    </row>
    <row r="11" spans="1:6" x14ac:dyDescent="0.25">
      <c r="A11" s="152" t="s">
        <v>78</v>
      </c>
      <c r="B11" s="148">
        <v>500000</v>
      </c>
    </row>
    <row r="12" spans="1:6" x14ac:dyDescent="0.25">
      <c r="A12" s="152"/>
      <c r="B12" s="149"/>
    </row>
    <row r="13" spans="1:6" x14ac:dyDescent="0.25">
      <c r="A13" s="153" t="s">
        <v>61</v>
      </c>
      <c r="B13" s="150">
        <v>0.15</v>
      </c>
    </row>
    <row r="15" spans="1:6" x14ac:dyDescent="0.25">
      <c r="A15" s="88" t="s">
        <v>0</v>
      </c>
      <c r="B15" s="89">
        <v>0</v>
      </c>
      <c r="C15" s="89">
        <v>1</v>
      </c>
      <c r="D15" s="89">
        <v>2</v>
      </c>
      <c r="E15" s="89">
        <v>3</v>
      </c>
      <c r="F15" s="89">
        <v>4</v>
      </c>
    </row>
    <row r="16" spans="1:6" x14ac:dyDescent="0.25">
      <c r="A16" s="3" t="str">
        <f>A1</f>
        <v>Havblikk</v>
      </c>
      <c r="B16" s="3">
        <f>-B1</f>
        <v>-4500000</v>
      </c>
      <c r="C16" s="3"/>
      <c r="D16" s="3"/>
      <c r="E16" s="3"/>
      <c r="F16" s="3">
        <f>B1*B2</f>
        <v>3600000</v>
      </c>
    </row>
    <row r="17" spans="1:6" x14ac:dyDescent="0.25">
      <c r="A17" s="3" t="s">
        <v>76</v>
      </c>
      <c r="B17" s="3"/>
      <c r="C17" s="3">
        <f>$B$3</f>
        <v>2500000</v>
      </c>
      <c r="D17" s="3">
        <f>$B$3</f>
        <v>2500000</v>
      </c>
      <c r="E17" s="3">
        <f>$B$3</f>
        <v>2500000</v>
      </c>
      <c r="F17" s="3">
        <f>$B$3</f>
        <v>2500000</v>
      </c>
    </row>
    <row r="18" spans="1:6" x14ac:dyDescent="0.25">
      <c r="A18" s="3" t="s">
        <v>77</v>
      </c>
      <c r="B18" s="3"/>
      <c r="C18" s="3">
        <f>-$B$4*C17</f>
        <v>-1250000</v>
      </c>
      <c r="D18" s="3">
        <f>-$B$4*D17</f>
        <v>-1250000</v>
      </c>
      <c r="E18" s="3">
        <f>-$B$4*E17</f>
        <v>-1250000</v>
      </c>
      <c r="F18" s="3">
        <f>-$B$4*F17</f>
        <v>-1250000</v>
      </c>
    </row>
    <row r="19" spans="1:6" x14ac:dyDescent="0.25">
      <c r="A19" s="90" t="s">
        <v>80</v>
      </c>
      <c r="B19" s="90"/>
      <c r="C19" s="90">
        <f>-$B$5</f>
        <v>-250000</v>
      </c>
      <c r="D19" s="90">
        <f>-$B$5</f>
        <v>-250000</v>
      </c>
      <c r="E19" s="90">
        <f>-$B$5</f>
        <v>-250000</v>
      </c>
      <c r="F19" s="90">
        <f>-$B$5</f>
        <v>-250000</v>
      </c>
    </row>
    <row r="20" spans="1:6" x14ac:dyDescent="0.25">
      <c r="A20" s="91" t="s">
        <v>19</v>
      </c>
      <c r="B20" s="91">
        <f>SUM(B16:B19)</f>
        <v>-4500000</v>
      </c>
      <c r="C20" s="91">
        <f>SUM(C16:C19)</f>
        <v>1000000</v>
      </c>
      <c r="D20" s="91">
        <f>SUM(D16:D19)</f>
        <v>1000000</v>
      </c>
      <c r="E20" s="91">
        <f>SUM(E16:E19)</f>
        <v>1000000</v>
      </c>
      <c r="F20" s="91">
        <f>SUM(F16:F19)</f>
        <v>4600000</v>
      </c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92" t="s">
        <v>81</v>
      </c>
      <c r="B22" s="93">
        <f>NPV(B13,C20:F20)+B20</f>
        <v>413290.04684803355</v>
      </c>
      <c r="C22" s="3"/>
      <c r="D22" s="3"/>
      <c r="E22" s="3"/>
      <c r="F22" s="3"/>
    </row>
    <row r="23" spans="1:6" x14ac:dyDescent="0.25">
      <c r="A23" s="92" t="s">
        <v>10</v>
      </c>
      <c r="B23" s="94">
        <f>IRR(B20:F20)</f>
        <v>0.18410097675873782</v>
      </c>
      <c r="C23" s="3"/>
      <c r="D23" s="3"/>
      <c r="E23" s="3"/>
      <c r="F23" s="3"/>
    </row>
    <row r="24" spans="1:6" x14ac:dyDescent="0.25">
      <c r="A24" s="3"/>
      <c r="B24" s="95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88" t="s">
        <v>0</v>
      </c>
      <c r="B26" s="89">
        <v>0</v>
      </c>
      <c r="C26" s="89">
        <v>1</v>
      </c>
      <c r="D26" s="89">
        <v>2</v>
      </c>
      <c r="E26" s="89">
        <v>3</v>
      </c>
      <c r="F26" s="89">
        <v>4</v>
      </c>
    </row>
    <row r="27" spans="1:6" x14ac:dyDescent="0.25">
      <c r="A27" s="3" t="s">
        <v>79</v>
      </c>
      <c r="B27" s="3">
        <f>-B7</f>
        <v>-8000000</v>
      </c>
      <c r="C27" s="3"/>
      <c r="D27" s="3"/>
      <c r="E27" s="3"/>
      <c r="F27" s="3">
        <f>B27*-B8</f>
        <v>6000000</v>
      </c>
    </row>
    <row r="28" spans="1:6" x14ac:dyDescent="0.25">
      <c r="A28" s="3" t="s">
        <v>76</v>
      </c>
      <c r="B28" s="3"/>
      <c r="C28" s="3">
        <f>$B$9</f>
        <v>3750000</v>
      </c>
      <c r="D28" s="3">
        <f>$B$9</f>
        <v>3750000</v>
      </c>
      <c r="E28" s="3">
        <f>$B$9</f>
        <v>3750000</v>
      </c>
      <c r="F28" s="3">
        <f>$B$9</f>
        <v>3750000</v>
      </c>
    </row>
    <row r="29" spans="1:6" x14ac:dyDescent="0.25">
      <c r="A29" s="3" t="s">
        <v>77</v>
      </c>
      <c r="B29" s="3"/>
      <c r="C29" s="3">
        <f>-$B$9*$B$10</f>
        <v>-1500000</v>
      </c>
      <c r="D29" s="3">
        <f>-$B$9*$B$10</f>
        <v>-1500000</v>
      </c>
      <c r="E29" s="3">
        <f>-$B$9*$B$10</f>
        <v>-1500000</v>
      </c>
      <c r="F29" s="3">
        <f>-$B$9*$B$10</f>
        <v>-1500000</v>
      </c>
    </row>
    <row r="30" spans="1:6" x14ac:dyDescent="0.25">
      <c r="A30" s="90" t="s">
        <v>80</v>
      </c>
      <c r="B30" s="90"/>
      <c r="C30" s="90">
        <f>-$B$11</f>
        <v>-500000</v>
      </c>
      <c r="D30" s="90">
        <f>-$B$11</f>
        <v>-500000</v>
      </c>
      <c r="E30" s="90">
        <f>-$B$11</f>
        <v>-500000</v>
      </c>
      <c r="F30" s="90">
        <f>-$B$11</f>
        <v>-500000</v>
      </c>
    </row>
    <row r="31" spans="1:6" x14ac:dyDescent="0.25">
      <c r="A31" s="91" t="s">
        <v>19</v>
      </c>
      <c r="B31" s="91">
        <f>SUM(B27:B30)</f>
        <v>-8000000</v>
      </c>
      <c r="C31" s="91">
        <f>SUM(C27:C30)</f>
        <v>1750000</v>
      </c>
      <c r="D31" s="91">
        <f>SUM(D27:D30)</f>
        <v>1750000</v>
      </c>
      <c r="E31" s="91">
        <f>SUM(E27:E30)</f>
        <v>1750000</v>
      </c>
      <c r="F31" s="91">
        <f>SUM(F27:F30)</f>
        <v>7750000</v>
      </c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92" t="s">
        <v>81</v>
      </c>
      <c r="B33" s="93">
        <f>NPV(B13,C31:F31)+B31</f>
        <v>426731.60830614716</v>
      </c>
      <c r="C33" s="3"/>
      <c r="D33" s="3"/>
      <c r="E33" s="3"/>
      <c r="F33" s="3"/>
    </row>
    <row r="34" spans="1:6" x14ac:dyDescent="0.25">
      <c r="A34" s="92" t="s">
        <v>10</v>
      </c>
      <c r="B34" s="94">
        <f>IRR(B31:F31)</f>
        <v>0.17012556703419768</v>
      </c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 t="s">
        <v>82</v>
      </c>
      <c r="B36" s="3"/>
      <c r="C36" s="3"/>
      <c r="D36" s="3"/>
      <c r="E36" s="3"/>
      <c r="F36" s="3"/>
    </row>
    <row r="38" spans="1:6" x14ac:dyDescent="0.25">
      <c r="A38" s="88" t="s">
        <v>0</v>
      </c>
      <c r="B38" s="89">
        <v>0</v>
      </c>
      <c r="C38" s="89">
        <v>1</v>
      </c>
      <c r="D38" s="89">
        <v>2</v>
      </c>
      <c r="E38" s="89">
        <v>3</v>
      </c>
      <c r="F38" s="89">
        <v>4</v>
      </c>
    </row>
    <row r="39" spans="1:6" x14ac:dyDescent="0.25">
      <c r="A39" t="s">
        <v>79</v>
      </c>
      <c r="B39" s="3">
        <f>B31</f>
        <v>-8000000</v>
      </c>
      <c r="C39" s="3">
        <f>C31</f>
        <v>1750000</v>
      </c>
      <c r="D39" s="3">
        <f>D31</f>
        <v>1750000</v>
      </c>
      <c r="E39" s="3">
        <f>E31</f>
        <v>1750000</v>
      </c>
      <c r="F39" s="3">
        <f>F31</f>
        <v>7750000</v>
      </c>
    </row>
    <row r="40" spans="1:6" x14ac:dyDescent="0.25">
      <c r="A40" s="84" t="s">
        <v>75</v>
      </c>
      <c r="B40" s="90">
        <f>B20</f>
        <v>-4500000</v>
      </c>
      <c r="C40" s="90">
        <f>C20</f>
        <v>1000000</v>
      </c>
      <c r="D40" s="90">
        <f>D20</f>
        <v>1000000</v>
      </c>
      <c r="E40" s="90">
        <f>E20</f>
        <v>1000000</v>
      </c>
      <c r="F40" s="90">
        <f>F20</f>
        <v>4600000</v>
      </c>
    </row>
    <row r="41" spans="1:6" x14ac:dyDescent="0.25">
      <c r="A41" s="96" t="s">
        <v>83</v>
      </c>
      <c r="B41" s="97">
        <f>B39-B40</f>
        <v>-3500000</v>
      </c>
      <c r="C41" s="97">
        <f>C39-C40</f>
        <v>750000</v>
      </c>
      <c r="D41" s="97">
        <f>D39-D40</f>
        <v>750000</v>
      </c>
      <c r="E41" s="97">
        <f>E39-E40</f>
        <v>750000</v>
      </c>
      <c r="F41" s="97">
        <f>F39-F40</f>
        <v>3150000</v>
      </c>
    </row>
    <row r="43" spans="1:6" x14ac:dyDescent="0.25">
      <c r="A43" t="s">
        <v>10</v>
      </c>
      <c r="B43" s="98">
        <f>IRR(B41:F41)</f>
        <v>0.15148064080390511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Opp 1</vt:lpstr>
      <vt:lpstr>Opp 2</vt:lpstr>
      <vt:lpstr>Opp 3</vt:lpstr>
      <vt:lpstr>Opp 4</vt:lpstr>
      <vt:lpstr>Opp 5</vt:lpstr>
      <vt:lpstr>Opp 6</vt:lpstr>
      <vt:lpstr>Opp 7</vt:lpstr>
      <vt:lpstr>Opp 8</vt:lpstr>
      <vt:lpstr>Opp 9</vt:lpstr>
      <vt:lpstr>Opp 10</vt:lpstr>
      <vt:lpstr>Opp 11</vt:lpstr>
      <vt:lpstr>Opp 12</vt:lpstr>
      <vt:lpstr>Opp 13</vt:lpstr>
      <vt:lpstr>Opp 14</vt:lpstr>
      <vt:lpstr>Opp 15</vt:lpstr>
      <vt:lpstr>Opp 16</vt:lpstr>
      <vt:lpstr>Opp 17</vt:lpstr>
      <vt:lpstr>Opp 18</vt:lpstr>
      <vt:lpstr>Opp 19</vt:lpstr>
      <vt:lpstr>Opp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Bredesen</dc:creator>
  <cp:lastModifiedBy>SherpaReserve</cp:lastModifiedBy>
  <dcterms:created xsi:type="dcterms:W3CDTF">2001-08-17T14:40:00Z</dcterms:created>
  <dcterms:modified xsi:type="dcterms:W3CDTF">2020-11-08T22:20:51Z</dcterms:modified>
</cp:coreProperties>
</file>