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Luddern\Desktop\"/>
    </mc:Choice>
  </mc:AlternateContent>
  <xr:revisionPtr revIDLastSave="0" documentId="13_ncr:1_{CA80989E-4B3F-4FEB-B290-1C2870FB326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ppgave 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1" i="1" l="1"/>
  <c r="B71" i="1"/>
  <c r="E71" i="1"/>
  <c r="C70" i="1"/>
  <c r="B53" i="1"/>
  <c r="B52" i="1"/>
  <c r="B51" i="1"/>
  <c r="B50" i="1"/>
  <c r="B49" i="1"/>
  <c r="C73" i="1"/>
  <c r="B73" i="1"/>
  <c r="C72" i="1"/>
  <c r="B72" i="1"/>
  <c r="B63" i="1"/>
  <c r="B70" i="1"/>
  <c r="C69" i="1"/>
  <c r="B69" i="1"/>
  <c r="B68" i="1"/>
  <c r="E68" i="1"/>
  <c r="B67" i="1"/>
  <c r="E67" i="1"/>
  <c r="B66" i="1"/>
  <c r="E66" i="1"/>
  <c r="C65" i="1"/>
  <c r="B65" i="1"/>
  <c r="C64" i="1"/>
  <c r="B64" i="1"/>
  <c r="B62" i="1" l="1"/>
  <c r="B61" i="1"/>
  <c r="B60" i="1"/>
  <c r="B59" i="1"/>
  <c r="E59" i="1"/>
  <c r="B58" i="1"/>
  <c r="E58" i="1"/>
  <c r="B57" i="1"/>
  <c r="G57" i="1"/>
  <c r="E57" i="1"/>
  <c r="B56" i="1"/>
  <c r="G56" i="1"/>
  <c r="E56" i="1"/>
  <c r="B55" i="1"/>
  <c r="B54" i="1"/>
  <c r="E53" i="1"/>
  <c r="E50" i="1"/>
  <c r="C44" i="1" l="1"/>
  <c r="B44" i="1"/>
  <c r="C37" i="1"/>
  <c r="B37" i="1"/>
  <c r="C34" i="1"/>
  <c r="B34" i="1"/>
  <c r="B28" i="1"/>
  <c r="C28" i="1"/>
  <c r="C24" i="1"/>
  <c r="B24" i="1"/>
  <c r="C5" i="1"/>
  <c r="C10" i="1" s="1"/>
  <c r="B5" i="1"/>
  <c r="B45" i="1" l="1"/>
  <c r="B46" i="1" s="1"/>
  <c r="B10" i="1"/>
  <c r="C45" i="1"/>
  <c r="C46" i="1" s="1"/>
  <c r="C29" i="1"/>
  <c r="B29" i="1"/>
  <c r="C13" i="1"/>
  <c r="B13" i="1" l="1"/>
  <c r="C15" i="1"/>
  <c r="C17" i="1" s="1"/>
  <c r="B15" i="1" l="1"/>
  <c r="B17" i="1" s="1"/>
</calcChain>
</file>

<file path=xl/sharedStrings.xml><?xml version="1.0" encoding="utf-8"?>
<sst xmlns="http://schemas.openxmlformats.org/spreadsheetml/2006/main" count="90" uniqueCount="88">
  <si>
    <t>Salgsinntekter</t>
  </si>
  <si>
    <t>Andre driftsinntekter</t>
  </si>
  <si>
    <t>Driftsinntekter</t>
  </si>
  <si>
    <t>Varekostnad</t>
  </si>
  <si>
    <t>Lønninger</t>
  </si>
  <si>
    <t>Avskrivning</t>
  </si>
  <si>
    <t>Andre driftskostnader</t>
  </si>
  <si>
    <t>Driftsresultat</t>
  </si>
  <si>
    <t>Finansinntekter</t>
  </si>
  <si>
    <t>Finanskostnader</t>
  </si>
  <si>
    <t>Resultat før skatt</t>
  </si>
  <si>
    <t>Årsresultat</t>
  </si>
  <si>
    <t>Eiendeler</t>
  </si>
  <si>
    <t>Sum anleggsmidler</t>
  </si>
  <si>
    <t>Sum omløpsmidler</t>
  </si>
  <si>
    <t>Sum eiendeler</t>
  </si>
  <si>
    <t>Gjeld og egenkapital</t>
  </si>
  <si>
    <t>Sum egenkapital</t>
  </si>
  <si>
    <t>Sum langsiktig gjeld</t>
  </si>
  <si>
    <t>Leverandørgjeld</t>
  </si>
  <si>
    <t>Betalbar skatt</t>
  </si>
  <si>
    <t>Skyldige offentlige avgifter</t>
  </si>
  <si>
    <t>Annen kortsiktig gjeld</t>
  </si>
  <si>
    <t>Sum kortsiktig gjeld</t>
  </si>
  <si>
    <t>Sum gjeld</t>
  </si>
  <si>
    <t>Sum gjeld og egenkapital</t>
  </si>
  <si>
    <t>Likviditetsgrad 1</t>
  </si>
  <si>
    <t>Resultatgrad</t>
  </si>
  <si>
    <t>Skattekostnad</t>
  </si>
  <si>
    <t>RESULTATREGNSKAP</t>
  </si>
  <si>
    <t>BALANSEREGNSKAP</t>
  </si>
  <si>
    <t>Totalkapitalens rentabilitet</t>
  </si>
  <si>
    <t>Egenkapitalens rentabilitet</t>
  </si>
  <si>
    <t>Kapitalens omløpshastighet</t>
  </si>
  <si>
    <t>Kontroll</t>
  </si>
  <si>
    <t>Gjennomsnittlig gjeldsrente</t>
  </si>
  <si>
    <t>Gjeldsgraden</t>
  </si>
  <si>
    <t>Brekkstangformelen</t>
  </si>
  <si>
    <t>Arbeidskapital (ArbK)</t>
  </si>
  <si>
    <t>ArbK i prosent av driftsinntekter</t>
  </si>
  <si>
    <t>EK-andel (Soliditet)</t>
  </si>
  <si>
    <t>Odd Even og Hans Teiken AS:</t>
  </si>
  <si>
    <t>År 2</t>
  </si>
  <si>
    <t>År 1</t>
  </si>
  <si>
    <t>Til utbytte</t>
  </si>
  <si>
    <t>Overført til egenkapital</t>
  </si>
  <si>
    <t>Tomter, bygninger mv</t>
  </si>
  <si>
    <t>Maskiner</t>
  </si>
  <si>
    <t>Inventar</t>
  </si>
  <si>
    <t>Varelager</t>
  </si>
  <si>
    <t>Fordringer</t>
  </si>
  <si>
    <t>Bankinnskudd</t>
  </si>
  <si>
    <t>Innskutt egenkapiatl</t>
  </si>
  <si>
    <t>Opptjent egenkapital</t>
  </si>
  <si>
    <t>Utsatt skatteforpliktelse</t>
  </si>
  <si>
    <t>Gjeld til kredittinstutisjoner</t>
  </si>
  <si>
    <t>Kassakreditt</t>
  </si>
  <si>
    <t>Avsatt utbytte</t>
  </si>
  <si>
    <t>Innbetaling fra kunder</t>
  </si>
  <si>
    <t>Varekjøp</t>
  </si>
  <si>
    <t>Utbetalt til vareleverandør</t>
  </si>
  <si>
    <t>Avdrag</t>
  </si>
  <si>
    <t>Investering i nye AM</t>
  </si>
  <si>
    <t>Innbet av EK</t>
  </si>
  <si>
    <t>Reelt driftsresultat</t>
  </si>
  <si>
    <t>BF utvikling</t>
  </si>
  <si>
    <t>Driftsmargin utvikling</t>
  </si>
  <si>
    <t>Gj. lagringstid varer</t>
  </si>
  <si>
    <t>Gj. Kreditttid kunder</t>
  </si>
  <si>
    <t>Likviditetsgrad 2</t>
  </si>
  <si>
    <t>Varebiler</t>
  </si>
  <si>
    <t>Gj. Kreditttid lev</t>
  </si>
  <si>
    <t>Nytt lån:</t>
  </si>
  <si>
    <r>
      <t xml:space="preserve">Beregnet </t>
    </r>
    <r>
      <rPr>
        <b/>
        <i/>
        <u/>
        <sz val="11"/>
        <color theme="1"/>
        <rFont val="Calibri"/>
        <family val="2"/>
        <scheme val="minor"/>
      </rPr>
      <t>med</t>
    </r>
    <r>
      <rPr>
        <i/>
        <sz val="11"/>
        <color theme="1"/>
        <rFont val="Calibri"/>
        <family val="2"/>
        <scheme val="minor"/>
      </rPr>
      <t xml:space="preserve"> mva:</t>
    </r>
  </si>
  <si>
    <r>
      <t xml:space="preserve">Beregnet </t>
    </r>
    <r>
      <rPr>
        <b/>
        <i/>
        <u/>
        <sz val="11"/>
        <color theme="1"/>
        <rFont val="Calibri"/>
        <family val="2"/>
        <scheme val="minor"/>
      </rPr>
      <t>uten</t>
    </r>
    <r>
      <rPr>
        <i/>
        <sz val="11"/>
        <color theme="1"/>
        <rFont val="Calibri"/>
        <family val="2"/>
        <scheme val="minor"/>
      </rPr>
      <t xml:space="preserve"> mva:</t>
    </r>
  </si>
  <si>
    <t>IB skjult reserve:</t>
  </si>
  <si>
    <t>UB skjult reserve</t>
  </si>
  <si>
    <t>BF år 1:</t>
  </si>
  <si>
    <t>BF år 2:</t>
  </si>
  <si>
    <t>Gj. Varelager:</t>
  </si>
  <si>
    <t>Gj. Kundefordringer:</t>
  </si>
  <si>
    <t>Gj. Leverandørgjeld:</t>
  </si>
  <si>
    <t>Det står forresten i oppgaveteksten at all salg foregår på kreditt.</t>
  </si>
  <si>
    <t>Gj. Totalkapital:</t>
  </si>
  <si>
    <t>Gj. Egenkapital:</t>
  </si>
  <si>
    <t>Driftsmargin år 1:</t>
  </si>
  <si>
    <t>Driftsmargin år 2:</t>
  </si>
  <si>
    <t>"Gj. gjeldsgrad:"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</si>
</sst>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&quot;kr&quot;\ * #,##0_ ;_ &quot;kr&quot;\ * \-#,##0_ ;_ &quot;kr&quot;\ * &quot;-&quot;??_ ;_ @_ "/>
    <numFmt numFmtId="165" formatCode="0.0\ %"/>
    <numFmt numFmtId="166" formatCode="0.0"/>
    <numFmt numFmtId="167" formatCode="_ * #,##0_ ;_ * \-#,##0_ ;_ * &quot;-&quot;??_ ;_ @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6" fillId="0" borderId="0" xfId="0" applyFont="1"/>
    <xf numFmtId="0" fontId="18" fillId="0" borderId="0" xfId="0" applyFont="1"/>
    <xf numFmtId="0" fontId="0" fillId="0" borderId="10" xfId="0" applyBorder="1"/>
    <xf numFmtId="164" fontId="0" fillId="0" borderId="10" xfId="1" applyNumberFormat="1" applyFont="1" applyBorder="1"/>
    <xf numFmtId="0" fontId="16" fillId="0" borderId="10" xfId="0" applyFont="1" applyBorder="1"/>
    <xf numFmtId="164" fontId="16" fillId="0" borderId="10" xfId="1" applyNumberFormat="1" applyFont="1" applyBorder="1"/>
    <xf numFmtId="165" fontId="16" fillId="0" borderId="10" xfId="2" applyNumberFormat="1" applyFont="1" applyBorder="1"/>
    <xf numFmtId="2" fontId="16" fillId="0" borderId="10" xfId="0" applyNumberFormat="1" applyFont="1" applyBorder="1"/>
    <xf numFmtId="0" fontId="16" fillId="0" borderId="11" xfId="0" applyFont="1" applyBorder="1"/>
    <xf numFmtId="0" fontId="19" fillId="0" borderId="0" xfId="0" applyFont="1"/>
    <xf numFmtId="0" fontId="18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ill="1"/>
    <xf numFmtId="0" fontId="18" fillId="0" borderId="0" xfId="0" applyFont="1" applyFill="1" applyAlignment="1">
      <alignment horizontal="center"/>
    </xf>
    <xf numFmtId="164" fontId="0" fillId="0" borderId="10" xfId="1" applyNumberFormat="1" applyFont="1" applyFill="1" applyBorder="1"/>
    <xf numFmtId="164" fontId="16" fillId="0" borderId="10" xfId="1" applyNumberFormat="1" applyFont="1" applyFill="1" applyBorder="1"/>
    <xf numFmtId="164" fontId="0" fillId="0" borderId="0" xfId="0" applyNumberFormat="1"/>
    <xf numFmtId="167" fontId="16" fillId="0" borderId="10" xfId="44" applyNumberFormat="1" applyFont="1" applyBorder="1"/>
    <xf numFmtId="10" fontId="16" fillId="0" borderId="10" xfId="2" applyNumberFormat="1" applyFont="1" applyBorder="1"/>
    <xf numFmtId="43" fontId="16" fillId="0" borderId="10" xfId="44" applyNumberFormat="1" applyFont="1" applyBorder="1"/>
    <xf numFmtId="167" fontId="20" fillId="0" borderId="0" xfId="44" applyNumberFormat="1" applyFont="1"/>
    <xf numFmtId="0" fontId="20" fillId="0" borderId="0" xfId="0" applyFont="1"/>
    <xf numFmtId="0" fontId="21" fillId="0" borderId="0" xfId="0" applyFont="1"/>
    <xf numFmtId="167" fontId="21" fillId="0" borderId="0" xfId="44" applyNumberFormat="1" applyFont="1"/>
    <xf numFmtId="165" fontId="20" fillId="0" borderId="0" xfId="2" applyNumberFormat="1" applyFont="1"/>
    <xf numFmtId="43" fontId="20" fillId="0" borderId="0" xfId="44" applyNumberFormat="1" applyFont="1"/>
    <xf numFmtId="166" fontId="16" fillId="0" borderId="10" xfId="0" applyNumberFormat="1" applyFont="1" applyFill="1" applyBorder="1"/>
    <xf numFmtId="165" fontId="16" fillId="0" borderId="10" xfId="2" applyNumberFormat="1" applyFont="1" applyFill="1" applyBorder="1"/>
  </cellXfs>
  <cellStyles count="45">
    <cellStyle name="20 % – uthevingsfarge 1" xfId="21" builtinId="30" customBuiltin="1"/>
    <cellStyle name="20 % – uthevingsfarge 2" xfId="25" builtinId="34" customBuiltin="1"/>
    <cellStyle name="20 % – uthevingsfarge 3" xfId="29" builtinId="38" customBuiltin="1"/>
    <cellStyle name="20 % – uthevingsfarge 4" xfId="33" builtinId="42" customBuiltin="1"/>
    <cellStyle name="20 % – uthevingsfarge 5" xfId="37" builtinId="46" customBuiltin="1"/>
    <cellStyle name="20 % – uthevingsfarge 6" xfId="41" builtinId="50" customBuiltin="1"/>
    <cellStyle name="40 % – uthevingsfarge 1" xfId="22" builtinId="31" customBuiltin="1"/>
    <cellStyle name="40 % – uthevingsfarge 2" xfId="26" builtinId="35" customBuiltin="1"/>
    <cellStyle name="40 % – uthevingsfarge 3" xfId="30" builtinId="39" customBuiltin="1"/>
    <cellStyle name="40 % – uthevingsfarge 4" xfId="34" builtinId="43" customBuiltin="1"/>
    <cellStyle name="40 % – uthevingsfarge 5" xfId="38" builtinId="47" customBuiltin="1"/>
    <cellStyle name="40 % – uthevingsfarge 6" xfId="42" builtinId="51" customBuiltin="1"/>
    <cellStyle name="60 % – uthevingsfarge 1" xfId="23" builtinId="32" customBuiltin="1"/>
    <cellStyle name="60 % – uthevingsfarge 2" xfId="27" builtinId="36" customBuiltin="1"/>
    <cellStyle name="60 % – uthevingsfarge 3" xfId="31" builtinId="40" customBuiltin="1"/>
    <cellStyle name="60 % – uthevingsfarge 4" xfId="35" builtinId="44" customBuiltin="1"/>
    <cellStyle name="60 % – uthevingsfarge 5" xfId="39" builtinId="48" customBuiltin="1"/>
    <cellStyle name="60 % – uthevingsfarge 6" xfId="43" builtinId="52" customBuiltin="1"/>
    <cellStyle name="Beregning" xfId="13" builtinId="22" customBuiltin="1"/>
    <cellStyle name="Dårlig" xfId="9" builtinId="27" customBuiltin="1"/>
    <cellStyle name="Forklarende tekst" xfId="18" builtinId="53" customBuiltin="1"/>
    <cellStyle name="God" xfId="8" builtinId="26" customBuiltin="1"/>
    <cellStyle name="Inndata" xfId="11" builtinId="20" customBuiltin="1"/>
    <cellStyle name="Koblet celle" xfId="14" builtinId="24" customBuiltin="1"/>
    <cellStyle name="Komma" xfId="44" builtinId="3"/>
    <cellStyle name="Kontrollcelle" xfId="15" builtinId="23" customBuiltin="1"/>
    <cellStyle name="Merknad" xfId="17" builtinId="10" customBuiltin="1"/>
    <cellStyle name="Normal" xfId="0" builtinId="0"/>
    <cellStyle name="Nøytral" xfId="10" builtinId="28" customBuiltin="1"/>
    <cellStyle name="Overskrift 1" xfId="4" builtinId="16" customBuiltin="1"/>
    <cellStyle name="Overskrift 2" xfId="5" builtinId="17" customBuiltin="1"/>
    <cellStyle name="Overskrift 3" xfId="6" builtinId="18" customBuiltin="1"/>
    <cellStyle name="Overskrift 4" xfId="7" builtinId="19" customBuiltin="1"/>
    <cellStyle name="Prosent" xfId="2" builtinId="5"/>
    <cellStyle name="Tittel" xfId="3" builtinId="15" customBuiltin="1"/>
    <cellStyle name="Totalt" xfId="19" builtinId="25" customBuiltin="1"/>
    <cellStyle name="Utdata" xfId="12" builtinId="21" customBuiltin="1"/>
    <cellStyle name="Uthevingsfarge1" xfId="20" builtinId="29" customBuiltin="1"/>
    <cellStyle name="Uthevingsfarge2" xfId="24" builtinId="33" customBuiltin="1"/>
    <cellStyle name="Uthevingsfarge3" xfId="28" builtinId="37" customBuiltin="1"/>
    <cellStyle name="Uthevingsfarge4" xfId="32" builtinId="41" customBuiltin="1"/>
    <cellStyle name="Uthevingsfarge5" xfId="36" builtinId="45" customBuiltin="1"/>
    <cellStyle name="Uthevingsfarge6" xfId="40" builtinId="49" customBuiltin="1"/>
    <cellStyle name="Valuta" xfId="1" builtinId="4"/>
    <cellStyle name="Varselteks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3"/>
  <sheetViews>
    <sheetView tabSelected="1" topLeftCell="A48" workbookViewId="0">
      <selection activeCell="F76" sqref="F76"/>
    </sheetView>
  </sheetViews>
  <sheetFormatPr baseColWidth="10" defaultColWidth="11.42578125" defaultRowHeight="15" x14ac:dyDescent="0.25"/>
  <cols>
    <col min="1" max="1" width="34.85546875" bestFit="1" customWidth="1"/>
    <col min="2" max="2" width="29.28515625" customWidth="1"/>
    <col min="3" max="3" width="29.28515625" style="13" customWidth="1"/>
    <col min="4" max="4" width="19.5703125" bestFit="1" customWidth="1"/>
    <col min="5" max="5" width="13.85546875" bestFit="1" customWidth="1"/>
    <col min="6" max="6" width="16.140625" bestFit="1" customWidth="1"/>
  </cols>
  <sheetData>
    <row r="1" spans="1:3" ht="21" x14ac:dyDescent="0.35">
      <c r="A1" s="10" t="s">
        <v>41</v>
      </c>
    </row>
    <row r="2" spans="1:3" ht="15.75" x14ac:dyDescent="0.25">
      <c r="A2" s="2" t="s">
        <v>29</v>
      </c>
      <c r="B2" s="11" t="s">
        <v>42</v>
      </c>
      <c r="C2" s="14" t="s">
        <v>43</v>
      </c>
    </row>
    <row r="3" spans="1:3" x14ac:dyDescent="0.25">
      <c r="A3" s="3" t="s">
        <v>0</v>
      </c>
      <c r="B3" s="4">
        <v>82517262</v>
      </c>
      <c r="C3" s="15">
        <v>79616000</v>
      </c>
    </row>
    <row r="4" spans="1:3" x14ac:dyDescent="0.25">
      <c r="A4" s="3" t="s">
        <v>1</v>
      </c>
      <c r="B4" s="4">
        <v>170000</v>
      </c>
      <c r="C4" s="15">
        <v>0</v>
      </c>
    </row>
    <row r="5" spans="1:3" s="1" customFormat="1" x14ac:dyDescent="0.25">
      <c r="A5" s="5" t="s">
        <v>2</v>
      </c>
      <c r="B5" s="6">
        <f>SUM(B3:B4)</f>
        <v>82687262</v>
      </c>
      <c r="C5" s="16">
        <f>SUM(C3:C4)</f>
        <v>79616000</v>
      </c>
    </row>
    <row r="6" spans="1:3" x14ac:dyDescent="0.25">
      <c r="A6" s="3" t="s">
        <v>3</v>
      </c>
      <c r="B6" s="4">
        <v>-30764010</v>
      </c>
      <c r="C6" s="15">
        <v>-28576042</v>
      </c>
    </row>
    <row r="7" spans="1:3" x14ac:dyDescent="0.25">
      <c r="A7" s="3" t="s">
        <v>4</v>
      </c>
      <c r="B7" s="4">
        <v>-26707000</v>
      </c>
      <c r="C7" s="15">
        <v>-24400100</v>
      </c>
    </row>
    <row r="8" spans="1:3" x14ac:dyDescent="0.25">
      <c r="A8" s="3" t="s">
        <v>5</v>
      </c>
      <c r="B8" s="4">
        <v>-1405000</v>
      </c>
      <c r="C8" s="15">
        <v>-1015000</v>
      </c>
    </row>
    <row r="9" spans="1:3" x14ac:dyDescent="0.25">
      <c r="A9" s="3" t="s">
        <v>6</v>
      </c>
      <c r="B9" s="4">
        <v>-20307648</v>
      </c>
      <c r="C9" s="15">
        <v>-20716000</v>
      </c>
    </row>
    <row r="10" spans="1:3" s="1" customFormat="1" x14ac:dyDescent="0.25">
      <c r="A10" s="5" t="s">
        <v>7</v>
      </c>
      <c r="B10" s="6">
        <f>SUM(B5:B9)</f>
        <v>3503604</v>
      </c>
      <c r="C10" s="16">
        <f>SUM(C5:C9)</f>
        <v>4908858</v>
      </c>
    </row>
    <row r="11" spans="1:3" x14ac:dyDescent="0.25">
      <c r="A11" s="3" t="s">
        <v>8</v>
      </c>
      <c r="B11" s="4">
        <v>960430</v>
      </c>
      <c r="C11" s="15">
        <v>442000</v>
      </c>
    </row>
    <row r="12" spans="1:3" x14ac:dyDescent="0.25">
      <c r="A12" s="3" t="s">
        <v>9</v>
      </c>
      <c r="B12" s="4">
        <v>-1748000</v>
      </c>
      <c r="C12" s="15">
        <v>-1370000</v>
      </c>
    </row>
    <row r="13" spans="1:3" s="1" customFormat="1" x14ac:dyDescent="0.25">
      <c r="A13" s="5" t="s">
        <v>10</v>
      </c>
      <c r="B13" s="6">
        <f>B10+B11+B12</f>
        <v>2716034</v>
      </c>
      <c r="C13" s="16">
        <f>C10+C11+C12</f>
        <v>3980858</v>
      </c>
    </row>
    <row r="14" spans="1:3" x14ac:dyDescent="0.25">
      <c r="A14" s="3" t="s">
        <v>28</v>
      </c>
      <c r="B14" s="4">
        <v>727897</v>
      </c>
      <c r="C14" s="15">
        <v>359921</v>
      </c>
    </row>
    <row r="15" spans="1:3" s="1" customFormat="1" x14ac:dyDescent="0.25">
      <c r="A15" s="5" t="s">
        <v>11</v>
      </c>
      <c r="B15" s="6">
        <f>B13-B14</f>
        <v>1988137</v>
      </c>
      <c r="C15" s="16">
        <f>C13-C14</f>
        <v>3620937</v>
      </c>
    </row>
    <row r="16" spans="1:3" s="1" customFormat="1" x14ac:dyDescent="0.25">
      <c r="A16" s="12" t="s">
        <v>44</v>
      </c>
      <c r="B16" s="6">
        <v>200000</v>
      </c>
      <c r="C16" s="16">
        <v>0</v>
      </c>
    </row>
    <row r="17" spans="1:3" s="1" customFormat="1" x14ac:dyDescent="0.25">
      <c r="A17" s="12" t="s">
        <v>45</v>
      </c>
      <c r="B17" s="6">
        <f>B15-B16</f>
        <v>1788137</v>
      </c>
      <c r="C17" s="16">
        <f>C15-C16</f>
        <v>3620937</v>
      </c>
    </row>
    <row r="18" spans="1:3" x14ac:dyDescent="0.25">
      <c r="A18" s="5" t="s">
        <v>30</v>
      </c>
      <c r="B18" s="4"/>
      <c r="C18" s="15"/>
    </row>
    <row r="19" spans="1:3" x14ac:dyDescent="0.25">
      <c r="A19" s="5" t="s">
        <v>12</v>
      </c>
      <c r="B19" s="4"/>
      <c r="C19" s="15"/>
    </row>
    <row r="20" spans="1:3" x14ac:dyDescent="0.25">
      <c r="A20" s="3" t="s">
        <v>46</v>
      </c>
      <c r="B20" s="4">
        <v>19187500</v>
      </c>
      <c r="C20" s="15">
        <v>16212500</v>
      </c>
    </row>
    <row r="21" spans="1:3" x14ac:dyDescent="0.25">
      <c r="A21" s="3" t="s">
        <v>47</v>
      </c>
      <c r="B21" s="4">
        <v>2160000</v>
      </c>
      <c r="C21" s="15">
        <v>2280000</v>
      </c>
    </row>
    <row r="22" spans="1:3" x14ac:dyDescent="0.25">
      <c r="A22" s="3" t="s">
        <v>70</v>
      </c>
      <c r="B22" s="4">
        <v>1200000</v>
      </c>
      <c r="C22" s="15">
        <v>700000</v>
      </c>
    </row>
    <row r="23" spans="1:3" x14ac:dyDescent="0.25">
      <c r="A23" s="3" t="s">
        <v>48</v>
      </c>
      <c r="B23" s="4">
        <v>295200</v>
      </c>
      <c r="C23" s="15">
        <v>345200</v>
      </c>
    </row>
    <row r="24" spans="1:3" s="1" customFormat="1" x14ac:dyDescent="0.25">
      <c r="A24" s="5" t="s">
        <v>13</v>
      </c>
      <c r="B24" s="6">
        <f>SUM(B20:B23)</f>
        <v>22842700</v>
      </c>
      <c r="C24" s="16">
        <f>SUM(C20:C23)</f>
        <v>19537700</v>
      </c>
    </row>
    <row r="25" spans="1:3" x14ac:dyDescent="0.25">
      <c r="A25" s="3" t="s">
        <v>49</v>
      </c>
      <c r="B25" s="4">
        <v>2000000</v>
      </c>
      <c r="C25" s="15">
        <v>1650000</v>
      </c>
    </row>
    <row r="26" spans="1:3" x14ac:dyDescent="0.25">
      <c r="A26" s="3" t="s">
        <v>50</v>
      </c>
      <c r="B26" s="4">
        <v>12334304</v>
      </c>
      <c r="C26" s="15">
        <v>10694988</v>
      </c>
    </row>
    <row r="27" spans="1:3" x14ac:dyDescent="0.25">
      <c r="A27" s="3" t="s">
        <v>51</v>
      </c>
      <c r="B27" s="4">
        <v>2556000</v>
      </c>
      <c r="C27" s="15">
        <v>1004000</v>
      </c>
    </row>
    <row r="28" spans="1:3" s="1" customFormat="1" x14ac:dyDescent="0.25">
      <c r="A28" s="5" t="s">
        <v>14</v>
      </c>
      <c r="B28" s="6">
        <f>SUM(B25:B27)+10000</f>
        <v>16900304</v>
      </c>
      <c r="C28" s="16">
        <f>SUM(C25:C27)</f>
        <v>13348988</v>
      </c>
    </row>
    <row r="29" spans="1:3" s="1" customFormat="1" x14ac:dyDescent="0.25">
      <c r="A29" s="5" t="s">
        <v>15</v>
      </c>
      <c r="B29" s="6">
        <f>B24+B28</f>
        <v>39743004</v>
      </c>
      <c r="C29" s="16">
        <f>C24+C28</f>
        <v>32886688</v>
      </c>
    </row>
    <row r="30" spans="1:3" x14ac:dyDescent="0.25">
      <c r="A30" s="3"/>
      <c r="B30" s="4"/>
      <c r="C30" s="15"/>
    </row>
    <row r="31" spans="1:3" x14ac:dyDescent="0.25">
      <c r="A31" s="5" t="s">
        <v>16</v>
      </c>
      <c r="B31" s="4"/>
      <c r="C31" s="15"/>
    </row>
    <row r="32" spans="1:3" x14ac:dyDescent="0.25">
      <c r="A32" s="3" t="s">
        <v>52</v>
      </c>
      <c r="B32" s="4">
        <v>2000000</v>
      </c>
      <c r="C32" s="15">
        <v>2000000</v>
      </c>
    </row>
    <row r="33" spans="1:3" x14ac:dyDescent="0.25">
      <c r="A33" s="3" t="s">
        <v>53</v>
      </c>
      <c r="B33" s="4">
        <v>6557842</v>
      </c>
      <c r="C33" s="15">
        <v>4769705</v>
      </c>
    </row>
    <row r="34" spans="1:3" s="1" customFormat="1" x14ac:dyDescent="0.25">
      <c r="A34" s="5" t="s">
        <v>17</v>
      </c>
      <c r="B34" s="6">
        <f>SUM(B32:B33)</f>
        <v>8557842</v>
      </c>
      <c r="C34" s="16">
        <f>SUM(C32:C33)</f>
        <v>6769705</v>
      </c>
    </row>
    <row r="35" spans="1:3" x14ac:dyDescent="0.25">
      <c r="A35" s="3" t="s">
        <v>54</v>
      </c>
      <c r="B35" s="4">
        <v>1050788</v>
      </c>
      <c r="C35" s="15">
        <v>938788</v>
      </c>
    </row>
    <row r="36" spans="1:3" x14ac:dyDescent="0.25">
      <c r="A36" s="3" t="s">
        <v>55</v>
      </c>
      <c r="B36" s="4">
        <v>13000000</v>
      </c>
      <c r="C36" s="15">
        <v>13200000</v>
      </c>
    </row>
    <row r="37" spans="1:3" s="1" customFormat="1" x14ac:dyDescent="0.25">
      <c r="A37" s="5" t="s">
        <v>18</v>
      </c>
      <c r="B37" s="6">
        <f>SUM(B35:B36)</f>
        <v>14050788</v>
      </c>
      <c r="C37" s="16">
        <f>SUM(C35:C36)</f>
        <v>14138788</v>
      </c>
    </row>
    <row r="38" spans="1:3" x14ac:dyDescent="0.25">
      <c r="A38" s="3" t="s">
        <v>56</v>
      </c>
      <c r="B38" s="4">
        <v>5976020</v>
      </c>
      <c r="C38" s="15">
        <v>2978520</v>
      </c>
    </row>
    <row r="39" spans="1:3" x14ac:dyDescent="0.25">
      <c r="A39" s="3" t="s">
        <v>19</v>
      </c>
      <c r="B39" s="4">
        <v>2461121</v>
      </c>
      <c r="C39" s="15">
        <v>2286083</v>
      </c>
    </row>
    <row r="40" spans="1:3" x14ac:dyDescent="0.25">
      <c r="A40" s="3" t="s">
        <v>20</v>
      </c>
      <c r="B40" s="4">
        <v>615898</v>
      </c>
      <c r="C40" s="15">
        <v>271921</v>
      </c>
    </row>
    <row r="41" spans="1:3" x14ac:dyDescent="0.25">
      <c r="A41" s="3" t="s">
        <v>57</v>
      </c>
      <c r="B41" s="4">
        <v>200000</v>
      </c>
      <c r="C41" s="15">
        <v>0</v>
      </c>
    </row>
    <row r="42" spans="1:3" x14ac:dyDescent="0.25">
      <c r="A42" s="3" t="s">
        <v>21</v>
      </c>
      <c r="B42" s="4">
        <v>4231335</v>
      </c>
      <c r="C42" s="15">
        <v>3925670</v>
      </c>
    </row>
    <row r="43" spans="1:3" x14ac:dyDescent="0.25">
      <c r="A43" s="3" t="s">
        <v>22</v>
      </c>
      <c r="B43" s="4">
        <v>3650000</v>
      </c>
      <c r="C43" s="15">
        <v>2516000</v>
      </c>
    </row>
    <row r="44" spans="1:3" s="1" customFormat="1" x14ac:dyDescent="0.25">
      <c r="A44" s="5" t="s">
        <v>23</v>
      </c>
      <c r="B44" s="6">
        <f>SUM(B38:B43)</f>
        <v>17134374</v>
      </c>
      <c r="C44" s="16">
        <f>SUM(C38:C43)+1</f>
        <v>11978195</v>
      </c>
    </row>
    <row r="45" spans="1:3" s="1" customFormat="1" x14ac:dyDescent="0.25">
      <c r="A45" s="5" t="s">
        <v>24</v>
      </c>
      <c r="B45" s="6">
        <f>B37+B44</f>
        <v>31185162</v>
      </c>
      <c r="C45" s="16">
        <f>C37+C44</f>
        <v>26116983</v>
      </c>
    </row>
    <row r="46" spans="1:3" s="1" customFormat="1" x14ac:dyDescent="0.25">
      <c r="A46" s="5" t="s">
        <v>25</v>
      </c>
      <c r="B46" s="6">
        <f>B34+B45</f>
        <v>39743004</v>
      </c>
      <c r="C46" s="16">
        <f>C34+C45</f>
        <v>32886688</v>
      </c>
    </row>
    <row r="48" spans="1:3" x14ac:dyDescent="0.25">
      <c r="A48" s="9"/>
      <c r="B48" s="18" t="s">
        <v>42</v>
      </c>
      <c r="C48" s="18" t="s">
        <v>43</v>
      </c>
    </row>
    <row r="49" spans="1:7" x14ac:dyDescent="0.25">
      <c r="A49" s="9" t="s">
        <v>58</v>
      </c>
      <c r="B49" s="18">
        <f>B3*1.25+C26-B26</f>
        <v>101507261.5</v>
      </c>
      <c r="C49" s="18"/>
      <c r="D49" s="17"/>
      <c r="E49" s="17"/>
      <c r="F49" s="17"/>
    </row>
    <row r="50" spans="1:7" x14ac:dyDescent="0.25">
      <c r="A50" s="9" t="s">
        <v>59</v>
      </c>
      <c r="B50" s="18">
        <f>(B25-C25-B6)*1.25</f>
        <v>38892512.5</v>
      </c>
      <c r="C50" s="18"/>
      <c r="D50" s="22" t="s">
        <v>74</v>
      </c>
      <c r="E50" s="21">
        <f>(B25-C25-B6)</f>
        <v>31114010</v>
      </c>
    </row>
    <row r="51" spans="1:7" x14ac:dyDescent="0.25">
      <c r="A51" s="9" t="s">
        <v>60</v>
      </c>
      <c r="B51" s="18">
        <f>C39+B50-B39</f>
        <v>38717474.5</v>
      </c>
      <c r="C51" s="18"/>
    </row>
    <row r="52" spans="1:7" x14ac:dyDescent="0.25">
      <c r="A52" s="9" t="s">
        <v>61</v>
      </c>
      <c r="B52" s="18">
        <f>B36+E52-C36</f>
        <v>1800000</v>
      </c>
      <c r="C52" s="18"/>
      <c r="D52" s="23" t="s">
        <v>72</v>
      </c>
      <c r="E52" s="24">
        <v>2000000</v>
      </c>
    </row>
    <row r="53" spans="1:7" x14ac:dyDescent="0.25">
      <c r="A53" s="9" t="s">
        <v>62</v>
      </c>
      <c r="B53" s="18">
        <f>(B24-B8-C24)</f>
        <v>4710000</v>
      </c>
      <c r="C53" s="18"/>
      <c r="D53" s="22" t="s">
        <v>73</v>
      </c>
      <c r="E53" s="21">
        <f>(B24-B8-C24)*1.25</f>
        <v>5887500</v>
      </c>
    </row>
    <row r="54" spans="1:7" x14ac:dyDescent="0.25">
      <c r="A54" s="9" t="s">
        <v>63</v>
      </c>
      <c r="B54" s="18">
        <f>B32-C32</f>
        <v>0</v>
      </c>
      <c r="C54" s="18"/>
    </row>
    <row r="55" spans="1:7" x14ac:dyDescent="0.25">
      <c r="A55" s="9" t="s">
        <v>64</v>
      </c>
      <c r="B55" s="18">
        <f>B10+G55-E55</f>
        <v>6503604</v>
      </c>
      <c r="C55" s="18"/>
      <c r="D55" s="23" t="s">
        <v>75</v>
      </c>
      <c r="E55" s="23">
        <v>2000000</v>
      </c>
      <c r="F55" s="23" t="s">
        <v>76</v>
      </c>
      <c r="G55" s="23">
        <v>5000000</v>
      </c>
    </row>
    <row r="56" spans="1:7" x14ac:dyDescent="0.25">
      <c r="A56" s="9" t="s">
        <v>65</v>
      </c>
      <c r="B56" s="7">
        <f>G56-E56</f>
        <v>-1.3895726485596338E-2</v>
      </c>
      <c r="C56" s="7"/>
      <c r="D56" s="22" t="s">
        <v>77</v>
      </c>
      <c r="E56" s="25">
        <f>(C3+C6)/C3</f>
        <v>0.64107664288585209</v>
      </c>
      <c r="F56" s="22" t="s">
        <v>78</v>
      </c>
      <c r="G56" s="25">
        <f>(B3+B6)/B3</f>
        <v>0.62718091640025575</v>
      </c>
    </row>
    <row r="57" spans="1:7" x14ac:dyDescent="0.25">
      <c r="A57" s="9" t="s">
        <v>66</v>
      </c>
      <c r="B57" s="19">
        <f>G57-E57</f>
        <v>-1.9284926973025703E-2</v>
      </c>
      <c r="C57" s="19"/>
      <c r="D57" s="22" t="s">
        <v>85</v>
      </c>
      <c r="E57" s="25">
        <f>C10/C5</f>
        <v>6.165667704983923E-2</v>
      </c>
      <c r="F57" s="22" t="s">
        <v>86</v>
      </c>
      <c r="G57" s="25">
        <f>B10/B5</f>
        <v>4.2371750076813527E-2</v>
      </c>
    </row>
    <row r="58" spans="1:7" x14ac:dyDescent="0.25">
      <c r="A58" s="9" t="s">
        <v>31</v>
      </c>
      <c r="B58" s="19">
        <f>(B13-B12)/E58</f>
        <v>0.12292586894076324</v>
      </c>
      <c r="C58" s="18"/>
      <c r="D58" s="22" t="s">
        <v>83</v>
      </c>
      <c r="E58" s="21">
        <f>(B29+C29)/2</f>
        <v>36314846</v>
      </c>
    </row>
    <row r="59" spans="1:7" x14ac:dyDescent="0.25">
      <c r="A59" s="9" t="s">
        <v>32</v>
      </c>
      <c r="B59" s="19">
        <f>B13/E59</f>
        <v>0.3543990437608836</v>
      </c>
      <c r="C59" s="18"/>
      <c r="D59" s="22" t="s">
        <v>84</v>
      </c>
      <c r="E59" s="21">
        <f>(B34+C34)/2</f>
        <v>7663773.5</v>
      </c>
    </row>
    <row r="60" spans="1:7" x14ac:dyDescent="0.25">
      <c r="A60" s="9" t="s">
        <v>33</v>
      </c>
      <c r="B60" s="20">
        <f>B5/E58</f>
        <v>2.2769547749149206</v>
      </c>
      <c r="C60" s="18"/>
    </row>
    <row r="61" spans="1:7" x14ac:dyDescent="0.25">
      <c r="A61" s="9" t="s">
        <v>27</v>
      </c>
      <c r="B61" s="7">
        <f>(B13-B12)/B5</f>
        <v>5.3986961135561604E-2</v>
      </c>
      <c r="C61" s="7">
        <f>(C13-C12)/C5</f>
        <v>6.7208324959807081E-2</v>
      </c>
    </row>
    <row r="62" spans="1:7" x14ac:dyDescent="0.25">
      <c r="A62" s="9" t="s">
        <v>34</v>
      </c>
      <c r="B62" s="19">
        <f>B60*B61</f>
        <v>0.12292586894076324</v>
      </c>
      <c r="C62" s="18"/>
    </row>
    <row r="63" spans="1:7" x14ac:dyDescent="0.25">
      <c r="A63" s="9" t="s">
        <v>35</v>
      </c>
      <c r="B63" s="19">
        <f>-B12/((B45+C45)/2)</f>
        <v>6.1009932525213501E-2</v>
      </c>
      <c r="C63" s="18"/>
    </row>
    <row r="64" spans="1:7" x14ac:dyDescent="0.25">
      <c r="A64" s="9" t="s">
        <v>38</v>
      </c>
      <c r="B64" s="18">
        <f>B28-B44</f>
        <v>-234070</v>
      </c>
      <c r="C64" s="18">
        <f>C28-C44</f>
        <v>1370793</v>
      </c>
    </row>
    <row r="65" spans="1:6" x14ac:dyDescent="0.25">
      <c r="A65" s="9" t="s">
        <v>39</v>
      </c>
      <c r="B65" s="7">
        <f>B64/B5</f>
        <v>-2.830786681508453E-3</v>
      </c>
      <c r="C65" s="7">
        <f>C64/C5</f>
        <v>1.7217556772508039E-2</v>
      </c>
    </row>
    <row r="66" spans="1:6" x14ac:dyDescent="0.25">
      <c r="A66" s="9" t="s">
        <v>67</v>
      </c>
      <c r="B66" s="18">
        <f>(E66/-B6)*365</f>
        <v>21.65273642805343</v>
      </c>
      <c r="C66" s="18"/>
      <c r="D66" s="22" t="s">
        <v>79</v>
      </c>
      <c r="E66" s="21">
        <f>(B25+C25)/2</f>
        <v>1825000</v>
      </c>
    </row>
    <row r="67" spans="1:6" x14ac:dyDescent="0.25">
      <c r="A67" s="9" t="s">
        <v>68</v>
      </c>
      <c r="B67" s="18">
        <f>(E67/(B3*1.25))*365</f>
        <v>40.746342650099081</v>
      </c>
      <c r="C67" s="18"/>
      <c r="D67" s="22" t="s">
        <v>80</v>
      </c>
      <c r="E67" s="21">
        <f>(B26+C26)/2</f>
        <v>11514646</v>
      </c>
      <c r="F67" s="22" t="s">
        <v>82</v>
      </c>
    </row>
    <row r="68" spans="1:6" x14ac:dyDescent="0.25">
      <c r="A68" s="9" t="s">
        <v>71</v>
      </c>
      <c r="B68" s="18">
        <f>(E68/B50)*365</f>
        <v>22.275874565830634</v>
      </c>
      <c r="C68" s="18"/>
      <c r="D68" s="22" t="s">
        <v>81</v>
      </c>
      <c r="E68" s="21">
        <f>(B39+C39)/2</f>
        <v>2373602</v>
      </c>
    </row>
    <row r="69" spans="1:6" x14ac:dyDescent="0.25">
      <c r="A69" s="9" t="s">
        <v>40</v>
      </c>
      <c r="B69" s="7">
        <f>B34/B46</f>
        <v>0.21532952063714156</v>
      </c>
      <c r="C69" s="7">
        <f>C34/C46</f>
        <v>0.2058494002193228</v>
      </c>
    </row>
    <row r="70" spans="1:6" x14ac:dyDescent="0.25">
      <c r="A70" s="9" t="s">
        <v>36</v>
      </c>
      <c r="B70" s="20">
        <f>B45/B34</f>
        <v>3.6440450758497294</v>
      </c>
      <c r="C70" s="27">
        <f>C45/C34</f>
        <v>3.8579203968267448</v>
      </c>
    </row>
    <row r="71" spans="1:6" x14ac:dyDescent="0.25">
      <c r="A71" s="9" t="s">
        <v>37</v>
      </c>
      <c r="B71" s="19">
        <f>B58+E71*(B58-B63)</f>
        <v>0.3543990437608836</v>
      </c>
      <c r="C71" s="28"/>
      <c r="D71" s="22" t="s">
        <v>87</v>
      </c>
      <c r="E71" s="26">
        <f>((B45+C45)/2)/((B34+C34)/2)</f>
        <v>3.7385072118845892</v>
      </c>
    </row>
    <row r="72" spans="1:6" x14ac:dyDescent="0.25">
      <c r="A72" s="9" t="s">
        <v>26</v>
      </c>
      <c r="B72" s="8">
        <f>B28/B44</f>
        <v>0.98633915659830929</v>
      </c>
      <c r="C72" s="8">
        <f>C28/C44</f>
        <v>1.1144406982855097</v>
      </c>
    </row>
    <row r="73" spans="1:6" x14ac:dyDescent="0.25">
      <c r="A73" s="9" t="s">
        <v>69</v>
      </c>
      <c r="B73" s="8">
        <f>(B28-B25)/B44</f>
        <v>0.86961472884857072</v>
      </c>
      <c r="C73" s="8">
        <f>(C28-C25)/C44</f>
        <v>0.97669039450434725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Oppgave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Torunn Drage Roti</dc:creator>
  <cp:lastModifiedBy>Luddern</cp:lastModifiedBy>
  <dcterms:created xsi:type="dcterms:W3CDTF">2015-10-28T13:14:33Z</dcterms:created>
  <dcterms:modified xsi:type="dcterms:W3CDTF">2020-09-07T18:50:34Z</dcterms:modified>
</cp:coreProperties>
</file>