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20" sheetId="1" r:id="rId4"/>
  </sheets>
  <definedNames/>
  <calcPr/>
  <extLst>
    <ext uri="GoogleSheetsCustomDataVersion1">
      <go:sheetsCustomData xmlns:go="http://customooxmlschemas.google.com/" r:id="rId5" roundtripDataSignature="AMtx7mj+8dIlBd1wB7T5MPTj9Z+Na5ur8w=="/>
    </ext>
  </extLst>
</workbook>
</file>

<file path=xl/sharedStrings.xml><?xml version="1.0" encoding="utf-8"?>
<sst xmlns="http://schemas.openxmlformats.org/spreadsheetml/2006/main" count="252" uniqueCount="195">
  <si>
    <t>INEC-1800 Arbeidskrav H-20 m. løsning</t>
  </si>
  <si>
    <t>Oppgave:</t>
  </si>
  <si>
    <t>Hvilken regnskapsrapport viser bedriftens økonomiske utvikling?</t>
  </si>
  <si>
    <t>Balanserapporten</t>
  </si>
  <si>
    <t>Resultatrapporten</t>
  </si>
  <si>
    <t>Kontantstrømrapporten</t>
  </si>
  <si>
    <t>Hva skjer med driftsresultatet dersom rentekostnadene øker?</t>
  </si>
  <si>
    <t>Øker</t>
  </si>
  <si>
    <t>Reduseres</t>
  </si>
  <si>
    <t>Ingen endring</t>
  </si>
  <si>
    <t>Er kostnaden for arbeidsgiveravgift på feriepengene en del av lønnskostnaden for en bedrifts resultatregnskap?</t>
  </si>
  <si>
    <t>Ja</t>
  </si>
  <si>
    <t>Nei</t>
  </si>
  <si>
    <t xml:space="preserve"> </t>
  </si>
  <si>
    <t>En virksomhet har eiendeler bokført til kr 1 000 000. Egenkapitalandelen er 40 %. Hvor stor er gjelden i kroner?</t>
  </si>
  <si>
    <t>Oppgi kun tallet uten mellomrom mellom sifrene.</t>
  </si>
  <si>
    <t>Når de skjulte reservene øker i perioden, vil det reelle resultatet være lavere enn det bokførte resultatet.</t>
  </si>
  <si>
    <t>Hva kjennetegner best en bedrift som er solid?</t>
  </si>
  <si>
    <t>Høy egenkapitalandel</t>
  </si>
  <si>
    <t>Høy totalkapital</t>
  </si>
  <si>
    <t>Høy verdi på eiendelene</t>
  </si>
  <si>
    <t>Mye penger i banken</t>
  </si>
  <si>
    <t>Hva kaller man normalt egenkapitalen i privat sammenheng?</t>
  </si>
  <si>
    <t xml:space="preserve">Oppgi kun ordet eller begrepet (med stor bokstav først). </t>
  </si>
  <si>
    <t>Formue</t>
  </si>
  <si>
    <t>Dersom man har kjøpt en varebil på kontant, vil balansens begge sider øke.</t>
  </si>
  <si>
    <t>Riktig</t>
  </si>
  <si>
    <t>Feil</t>
  </si>
  <si>
    <t>Dersom vi betaler en leverandør ved å bruke skattetrekkskontoen, vil totalkapitalen bli redusert.</t>
  </si>
  <si>
    <t>Vi kjøper inn varer for kr 150 000. Varelageret øker med kr 50 000 i perioden. Hva er da varekostnaden?</t>
  </si>
  <si>
    <t>Oppgi kun tallet uten mellomrom mellom sifrene. 50000</t>
  </si>
  <si>
    <t>Se informasjonen på oppgaven ovenfor. Har det her vært en beholdningsøkning eller beholdningsreduksjon av varer i perioden?</t>
  </si>
  <si>
    <t>Beholdningsøkning</t>
  </si>
  <si>
    <t>Beholdningsreduksjon</t>
  </si>
  <si>
    <t>Dersom vi krediterer konto for kundefordringer og debiterer konto for bank, vil totalkapitalen bli redusert.</t>
  </si>
  <si>
    <t>En bedrift hadde ved utgangen av året anleggsmidler for kr 4.200.000, omløpsmidler for kr 2.800.000, kortsiktig gjeld på kr 2.300.000 og langsiktig gjeld på kr 2.500.000.</t>
  </si>
  <si>
    <t>Hva var bedriftens egenkapital ved utgangen av året?</t>
  </si>
  <si>
    <t>Eiendeler</t>
  </si>
  <si>
    <t>Egenkapital og gjeld</t>
  </si>
  <si>
    <t>AM</t>
  </si>
  <si>
    <t>OM</t>
  </si>
  <si>
    <t>EK</t>
  </si>
  <si>
    <t>LG</t>
  </si>
  <si>
    <t>KG</t>
  </si>
  <si>
    <t>En bedrift har per 31.12.20x1 kr 12.300.000 i anleggsmidler, kr 11.000.000 i langsiktig gjeld, kr 8.700.000 i omløpsmidler. Arbeidskapitalen er kr 2.900.000. Hva er beløpene for bedriftens egenkapital og kortsiktig gjeld?</t>
  </si>
  <si>
    <t>Arb. Kap</t>
  </si>
  <si>
    <t>OM-KG=EK+LG-AM</t>
  </si>
  <si>
    <t xml:space="preserve">Svar: </t>
  </si>
  <si>
    <t xml:space="preserve">Hvilken av nedenstående regnskapsposter kan betraktes som langsiktig gjeld? </t>
  </si>
  <si>
    <t>Kundefordringer</t>
  </si>
  <si>
    <t>Bankinnskudd</t>
  </si>
  <si>
    <t>Leverandørgjeld</t>
  </si>
  <si>
    <t>Pantelån</t>
  </si>
  <si>
    <t>Varesalg</t>
  </si>
  <si>
    <t>Forskuddsbetalte driftskostnader</t>
  </si>
  <si>
    <t xml:space="preserve">Hvilken av nedenstående regnskapsposter kan betraktes som anleggsmidler?  </t>
  </si>
  <si>
    <t>Varelager</t>
  </si>
  <si>
    <t>Kontanter</t>
  </si>
  <si>
    <t>Inventar</t>
  </si>
  <si>
    <t>Kontoer som starter med kontonummer 1x er:</t>
  </si>
  <si>
    <t>Eiendelskontoer</t>
  </si>
  <si>
    <t>Inntektskontoer</t>
  </si>
  <si>
    <t>Kostnadskontoer</t>
  </si>
  <si>
    <t>Utgiftskontoer</t>
  </si>
  <si>
    <t>Egenkapitalkontoer</t>
  </si>
  <si>
    <t>Gjeldskontoer</t>
  </si>
  <si>
    <t>Kontoer som starter med kontonummer 3x er:</t>
  </si>
  <si>
    <t>Hvilken av disse kontoene er mest likvid?</t>
  </si>
  <si>
    <t>Konto</t>
  </si>
  <si>
    <t>Bank</t>
  </si>
  <si>
    <t>Biler</t>
  </si>
  <si>
    <t>Børsnoterte aksjer</t>
  </si>
  <si>
    <t>Hvilken av disse gjeldskontoene forfaller raskest?</t>
  </si>
  <si>
    <t>Aksjekapital</t>
  </si>
  <si>
    <t>Utsatt skatt</t>
  </si>
  <si>
    <t>Avsatt utbytte</t>
  </si>
  <si>
    <t>Banklån</t>
  </si>
  <si>
    <t>En varehandelsbedrift hadde ved utgangen av året et varelager på kr 1.050.000 (UB). Årets varekostnad var kr 11.800.000, mens årets varekjøp var kr 12.340.000. Se bort fra mva.</t>
  </si>
  <si>
    <t xml:space="preserve">Hva var verdien på varelageret ved inngangen til året (IB)? </t>
  </si>
  <si>
    <t>Lagerloven:</t>
  </si>
  <si>
    <t>Varekostnad = IB + Kjøp - UB</t>
  </si>
  <si>
    <t>IB</t>
  </si>
  <si>
    <t>En varehandelsbedrift hadde per 01.01.20x1 varer på lager for kr 1.600.000 målt til</t>
  </si>
  <si>
    <t>innkjøpspriser. Per 31.12.20x1 hadde bedriften varer på lager for kr 1.300.000. Bedriftens</t>
  </si>
  <si>
    <t>vareforbruk (varekostnad) i 20x1 var kr 13.500.000. Hva var bedriftens varekjøp inkl</t>
  </si>
  <si>
    <t xml:space="preserve">mva i 20x1? </t>
  </si>
  <si>
    <t>IB Varelager</t>
  </si>
  <si>
    <t>UB Varelager</t>
  </si>
  <si>
    <t>Varekostnad</t>
  </si>
  <si>
    <t>Varekostnad = IB + kjøp - UB</t>
  </si>
  <si>
    <t>Varekostnad -IB + UB = kjøp eks mva</t>
  </si>
  <si>
    <t>= kjøp eksl mva</t>
  </si>
  <si>
    <t>Prøve:</t>
  </si>
  <si>
    <t>Kjøp inkl mva</t>
  </si>
  <si>
    <t>En bedrift selger et vareparti for kr 110.000 eksklusive mva.  Bedriften benytter en mva-sats på 25%.  Hvor stort er salgsbeløpet brutto, dvs inklusive mva?</t>
  </si>
  <si>
    <t>Svar: 137.500</t>
  </si>
  <si>
    <t>Løsning: kr 110.000  * 1,25 = kr 137.500</t>
  </si>
  <si>
    <t>En bedrift kjøper en maskin for kr 2.000.000 inkl. mva på kreditt. Mva-satsen er 25%. Hvilke</t>
  </si>
  <si>
    <t>regnskapsmessige virkninger har transaksjonen? Oppgi bokstaven for det svaralternativet du</t>
  </si>
  <si>
    <t xml:space="preserve">mener er riktig. </t>
  </si>
  <si>
    <t>Anleggsmidler øker med kr 1.500.000, leverandørgjeld øker med kr 1.000.000 og skyldig mva (netto) øker med kr 500.000.</t>
  </si>
  <si>
    <t>Anleggsmidler øker med kr 1.600.000, leverandørgjeld reduseres med kr 2.000.00 og skyldig mva (netto) øker med kr 400.000.</t>
  </si>
  <si>
    <t>Anleggsmidler øker med kr 1.600.000, leverandørgjeld øker med kr 2.000.000 og skyldig mva (netto) reduseres med kr 400.000.</t>
  </si>
  <si>
    <t>Anleggsmidler øker med kr 1.600.000, leverandørgjeld øker med kr 400.000 og skyldig mva (netto) reduseres med kr 2.000.000.</t>
  </si>
  <si>
    <t>Anleggsmidler øker med kr 1.500.000, leverandørgjeld øker med kr 2.000.000 og skyldig mva (netto) reduseres med kr 500.000.</t>
  </si>
  <si>
    <t>Anleggsmidler øker med kr 1.500.000, leverandørgjeld øker med kr 500.000 og skyldig mva (netto) reduseres med kr 2.000.000.</t>
  </si>
  <si>
    <t>KG/Mva</t>
  </si>
  <si>
    <t>En bedrift selger varer for kr 400.000 eks mva på kreditt. Bruttofortjenesten ved salget er</t>
  </si>
  <si>
    <t>40 %. Hvilke regnskapsmessige virkninger har transaksjonen?</t>
  </si>
  <si>
    <t>Ordinært resultat før skattekostnad øker med kr 128.000, varelageret reduseres med kr 192. 000, kundefordringer øker med kr 400.000 og skyldig mva (netto) øker med kr 80.000.</t>
  </si>
  <si>
    <t>Ordinært resultat før skattekostnad øker med kr 128.000, varelageret reduseres med kr 192. 000, kundefordringer øker med kr 400.000 og skyldig mva (netto) reduseres med kr 80.000.</t>
  </si>
  <si>
    <t>Ordinært resultat før skattekostnad øker med kr 240.000, varelageret reduseres med kr 160. 000, kundefordringer øker med kr 500.000 og skyldig mva (netto) øker med kr 100.000.</t>
  </si>
  <si>
    <t>Ordinært resultat før skattekostnad øker med kr 240.000, varelageret reduseres med kr 160. 000, kundefordringer øker med kr 500.000 og skyldig mva (netto) reduseres med kr 100.000.</t>
  </si>
  <si>
    <t>Ordinært resultat før skattekostnad øker med kr 160.000, varelageret reduseres med kr 240.000, kundefordringer øker med kr 500.000 og skyldig mva (netto) reduseres med kr 100.000.</t>
  </si>
  <si>
    <t>Ordinært resultat før skattekostnad øker med kr 160.000, varelageret reduseres med kr 240. 000, kundefordringer øker med kr 500.000 og skyldig mva (netto) øker med kr 100.000.</t>
  </si>
  <si>
    <t>Salgsinntekt</t>
  </si>
  <si>
    <t>BF</t>
  </si>
  <si>
    <t>= SI-VK</t>
  </si>
  <si>
    <t>SI</t>
  </si>
  <si>
    <t>= 400'-X</t>
  </si>
  <si>
    <t>400'</t>
  </si>
  <si>
    <t>=400 000-X</t>
  </si>
  <si>
    <t>=X</t>
  </si>
  <si>
    <t xml:space="preserve">En bedrift har solgt varer på kreditt for kr 300.000 inkl. mva.  Mva-satsen er 25%. Etter 30 dager betaler kunden. Pengene går inn på bedriftens bankkonto. Hvilke regnskapsmessige virkninger har betalingstransaksjonen? </t>
  </si>
  <si>
    <t>Bankkontoen øker med kr 225.000, kundefordringer reduseres med kr 225.000, og skyldig mva (netto) øker med kr 75.000.</t>
  </si>
  <si>
    <t>Bankkontoen øker med kr 225.000, kundefordringer reduseres med kr 225.000 og skyldig mva (netto) reduseres med kr 75.000.</t>
  </si>
  <si>
    <t>Bankkontoen øker med kr 240.000, kundefordringer reduseres med kr 240.000 og skyldig mva (netto) øker med kr 60.000.</t>
  </si>
  <si>
    <t>Bankkontoen øker med kr 240.000, kundefordringer reduseres med kr 240.000 og skyldig mva (netto) reduseres med kr 60.000.</t>
  </si>
  <si>
    <t>Bankkontoen øker med kr 300.000, kundefordringer reduseres med kr 300.000 og skyldig mva (netto) blir ikke påvirket.</t>
  </si>
  <si>
    <t>Bankkontoen øker med kr 300.000, kundefordringer reduseres med kr 300.000 og skyldig mva (netto) øker med 75.000.</t>
  </si>
  <si>
    <t xml:space="preserve">Et av regnskapsprinsippene som er omtalt i læreboka, går ut på at resultatmåling for en periode skal skje ved  at inntekter skapt i en periode sammenliknes med kostnadene som er gått med til å skape periodens inntekter. Hvilket regnskapsprinsipp er dette?  </t>
  </si>
  <si>
    <t>Transaksjonsprinsippet</t>
  </si>
  <si>
    <t>Opptjeningsprinsippet</t>
  </si>
  <si>
    <t>Driftsprinsippet</t>
  </si>
  <si>
    <t>Sammenstillingsprinsippet</t>
  </si>
  <si>
    <t>Optimaliseringsprinsippet</t>
  </si>
  <si>
    <t>Kontantprinsippet</t>
  </si>
  <si>
    <t xml:space="preserve">En bedrift har anskaffet et varig driftsmiddel for kr 1.000.000 eksklusive mva. Forventet levetid for driftsmiddelet er 5 år. Anslått salgsverdi ved utløpet av levetiden er kr 100.000 eksklusive mva. Anta at bedriften benytter lineære avskrivninger. Hva blir avskrivningene i år tre? </t>
  </si>
  <si>
    <t>Svar: 180.000</t>
  </si>
  <si>
    <t>Løsning: Avskrivning per år = (1.000.000 – 100.000) / 5 = 180.000. Siden det benyttes lineære avskrivninger, er avskrivningene like store hvert år.</t>
  </si>
  <si>
    <t xml:space="preserve">En bedrift har anskaffet et varig driftsmiddel for kr 1.000.000 eksklusive mva. Forventet levetid for driftsmiddelet er 5 år. Anslått salgsverdi ved utløpet av levetiden er kr 100.000 eksklusive mva. Anta at bedriften benytter saldoavskrivninger. Saldoavskrivningssatsen er satt til 40%. Hva blir avskrivningene i år tre? </t>
  </si>
  <si>
    <t>Svar: 144.000</t>
  </si>
  <si>
    <t>Løsning: Saldoavskrivning i år tre = 1.000.000 *0,6*0,6*0,4 = 144.000</t>
  </si>
  <si>
    <t>Resultatregnskap 2017</t>
  </si>
  <si>
    <t>Driftsinntekter</t>
  </si>
  <si>
    <t xml:space="preserve">Driftskostnader </t>
  </si>
  <si>
    <t xml:space="preserve">Driftsresultat </t>
  </si>
  <si>
    <t xml:space="preserve">Renteinntekter </t>
  </si>
  <si>
    <t xml:space="preserve">Rentekostnader </t>
  </si>
  <si>
    <t xml:space="preserve">Resultat før skattekostnad </t>
  </si>
  <si>
    <t xml:space="preserve">Skattekostnad </t>
  </si>
  <si>
    <t xml:space="preserve">Årsresultat </t>
  </si>
  <si>
    <t xml:space="preserve">Balanse per 31.12. </t>
  </si>
  <si>
    <t xml:space="preserve">Anleggsmidler </t>
  </si>
  <si>
    <t>Omløpsmidler</t>
  </si>
  <si>
    <t xml:space="preserve">Sum eiendeler </t>
  </si>
  <si>
    <t xml:space="preserve">Egenkapital </t>
  </si>
  <si>
    <t xml:space="preserve">Langsiktig gjeld </t>
  </si>
  <si>
    <t xml:space="preserve">Kortsiktig gjeld </t>
  </si>
  <si>
    <t xml:space="preserve">Sum egenkapital og gjeld </t>
  </si>
  <si>
    <t>Tilleggsopplysninger</t>
  </si>
  <si>
    <t xml:space="preserve">Varelager </t>
  </si>
  <si>
    <t xml:space="preserve">Kundefordringer </t>
  </si>
  <si>
    <t xml:space="preserve">Leverandørgjeld </t>
  </si>
  <si>
    <t xml:space="preserve">Varekostnad </t>
  </si>
  <si>
    <t>Med utgangspunkt i det offisielle årsregnskapet over, beregn følgende nøkkeltall for 2017:</t>
  </si>
  <si>
    <t>Driftsmargin</t>
  </si>
  <si>
    <t>EK-andel</t>
  </si>
  <si>
    <t>Likviditetsgrad 1</t>
  </si>
  <si>
    <t>Totalkapitalens rentabilitet</t>
  </si>
  <si>
    <t>Resultatgrad</t>
  </si>
  <si>
    <t>Kap. Oml.hast</t>
  </si>
  <si>
    <t>Totalkapitalens rentabilitet utregnet ved Du Pont-modellen</t>
  </si>
  <si>
    <t>Egenkapitalens rentabilitet</t>
  </si>
  <si>
    <t xml:space="preserve">Gjennomsnittlig gjeldsrente </t>
  </si>
  <si>
    <t>Gjeldsgrad</t>
  </si>
  <si>
    <t>Egenkapitalens rentabilitet ved bruk av brekkstangformelen</t>
  </si>
  <si>
    <t>Utbetalinger til leverandører.</t>
  </si>
  <si>
    <t>Innbetalinger fra kunder.</t>
  </si>
  <si>
    <t>Gjennomsnittlig lagringstid varer.</t>
  </si>
  <si>
    <t>Vil også godta:</t>
  </si>
  <si>
    <t>Gjennomsnittlig kredittid kunder.</t>
  </si>
  <si>
    <t>Hvor mye ble avsatt til utbytte til eierne</t>
  </si>
  <si>
    <t>Gitt at skjulte reserver på et forretningsbygg utgjorde kr 1 000 000 per  31.12.2017. Hva blir den reelle totalkapitalen (se bort fra skatt)?</t>
  </si>
  <si>
    <t>Kalkulatoriske kostnader er beregnede kostnader og lov å bruke i:</t>
  </si>
  <si>
    <t>Årsregnskapet</t>
  </si>
  <si>
    <t>Eksternregnskapet</t>
  </si>
  <si>
    <t>Internregnskapet</t>
  </si>
  <si>
    <t>Skatteregnskapet</t>
  </si>
  <si>
    <t>Det er en fordel å ha så stor produksjon som mulig av hensyn til de faste kostnadene.</t>
  </si>
  <si>
    <t>Det er også en fordel å ha så stor produksjon som mulig av hensyn til de variable kostnadene.</t>
  </si>
  <si>
    <t>Roto AS har kommet frem til følgende sammenheng mellom kostnader i millioner kroner og produksjonsmengde i antall enheter:</t>
  </si>
  <si>
    <t>Produksjonsmengde</t>
  </si>
  <si>
    <t>Kostnader</t>
  </si>
  <si>
    <t>Hvor store er bedriftens variable kostnader når produksjonsmengden er 3 000 enheter?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</si>
</sst>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"/>
    <numFmt numFmtId="165" formatCode="_ * #,##0.00_ ;_ * \-#,##0.00_ ;_ * &quot;-&quot;??_ ;_ @_ "/>
    <numFmt numFmtId="166" formatCode="_ * #,##0_ ;_ * \-#,##0_ ;_ * &quot;-&quot;??_ ;_ @_ "/>
  </numFmts>
  <fonts count="7">
    <font>
      <sz val="11.0"/>
      <color theme="1"/>
      <name val="Arial"/>
    </font>
    <font>
      <b/>
      <sz val="20.0"/>
      <color theme="1"/>
      <name val="Tahoma"/>
    </font>
    <font>
      <sz val="12.0"/>
      <color theme="1"/>
      <name val="Tahoma"/>
    </font>
    <font>
      <b/>
      <sz val="12.0"/>
      <color theme="1"/>
      <name val="Tahoma"/>
    </font>
    <font/>
    <font>
      <i/>
      <sz val="12.0"/>
      <color theme="1"/>
      <name val="Tahoma"/>
    </font>
    <font>
      <sz val="12.0"/>
      <color rgb="FFFF000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7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horizontal="left"/>
    </xf>
    <xf borderId="0" fillId="0" fontId="2" numFmtId="3" xfId="0" applyFont="1" applyNumberFormat="1"/>
    <xf borderId="0" fillId="0" fontId="3" numFmtId="3" xfId="0" applyAlignment="1" applyFont="1" applyNumberFormat="1">
      <alignment horizontal="center"/>
    </xf>
    <xf borderId="1" fillId="2" fontId="2" numFmtId="3" xfId="0" applyBorder="1" applyFill="1" applyFont="1" applyNumberFormat="1"/>
    <xf borderId="2" fillId="0" fontId="2" numFmtId="3" xfId="0" applyAlignment="1" applyBorder="1" applyFont="1" applyNumberFormat="1">
      <alignment horizontal="center"/>
    </xf>
    <xf borderId="3" fillId="0" fontId="4" numFmtId="0" xfId="0" applyBorder="1" applyFont="1"/>
    <xf borderId="4" fillId="0" fontId="4" numFmtId="0" xfId="0" applyBorder="1" applyFont="1"/>
    <xf borderId="2" fillId="0" fontId="2" numFmtId="3" xfId="0" applyBorder="1" applyFont="1" applyNumberFormat="1"/>
    <xf borderId="3" fillId="0" fontId="2" numFmtId="3" xfId="0" applyBorder="1" applyFont="1" applyNumberFormat="1"/>
    <xf borderId="4" fillId="0" fontId="2" numFmtId="3" xfId="0" applyBorder="1" applyFont="1" applyNumberFormat="1"/>
    <xf borderId="5" fillId="0" fontId="2" numFmtId="3" xfId="0" applyBorder="1" applyFont="1" applyNumberFormat="1"/>
    <xf borderId="6" fillId="2" fontId="2" numFmtId="3" xfId="0" applyBorder="1" applyFont="1" applyNumberFormat="1"/>
    <xf borderId="7" fillId="0" fontId="2" numFmtId="3" xfId="0" applyBorder="1" applyFont="1" applyNumberFormat="1"/>
    <xf borderId="8" fillId="0" fontId="2" numFmtId="3" xfId="0" applyBorder="1" applyFont="1" applyNumberFormat="1"/>
    <xf borderId="0" fillId="0" fontId="2" numFmtId="3" xfId="0" applyAlignment="1" applyFont="1" applyNumberFormat="1">
      <alignment horizontal="left" shrinkToFit="0" wrapText="1"/>
    </xf>
    <xf borderId="9" fillId="0" fontId="2" numFmtId="3" xfId="0" applyBorder="1" applyFont="1" applyNumberFormat="1"/>
    <xf borderId="1" fillId="2" fontId="2" numFmtId="0" xfId="0" applyBorder="1" applyFont="1"/>
    <xf borderId="0" fillId="0" fontId="2" numFmtId="0" xfId="0" applyFont="1"/>
    <xf quotePrefix="1" borderId="0" fillId="0" fontId="2" numFmtId="3" xfId="0" applyFont="1" applyNumberFormat="1"/>
    <xf borderId="3" fillId="0" fontId="2" numFmtId="3" xfId="0" applyAlignment="1" applyBorder="1" applyFont="1" applyNumberFormat="1">
      <alignment horizontal="center"/>
    </xf>
    <xf borderId="0" fillId="0" fontId="2" numFmtId="164" xfId="0" applyAlignment="1" applyFont="1" applyNumberFormat="1">
      <alignment horizontal="center"/>
    </xf>
    <xf quotePrefix="1" borderId="10" fillId="0" fontId="2" numFmtId="3" xfId="0" applyAlignment="1" applyBorder="1" applyFont="1" applyNumberFormat="1">
      <alignment horizontal="center"/>
    </xf>
    <xf borderId="0" fillId="0" fontId="2" numFmtId="9" xfId="0" applyAlignment="1" applyFont="1" applyNumberFormat="1">
      <alignment horizontal="center"/>
    </xf>
    <xf borderId="0" fillId="0" fontId="2" numFmtId="3" xfId="0" applyAlignment="1" applyFont="1" applyNumberFormat="1">
      <alignment horizontal="center"/>
    </xf>
    <xf borderId="0" fillId="0" fontId="2" numFmtId="164" xfId="0" applyFont="1" applyNumberFormat="1"/>
    <xf borderId="11" fillId="0" fontId="2" numFmtId="3" xfId="0" applyBorder="1" applyFont="1" applyNumberFormat="1"/>
    <xf borderId="12" fillId="0" fontId="2" numFmtId="3" xfId="0" applyBorder="1" applyFont="1" applyNumberFormat="1"/>
    <xf borderId="13" fillId="0" fontId="2" numFmtId="3" xfId="0" applyBorder="1" applyFont="1" applyNumberFormat="1"/>
    <xf borderId="1" fillId="2" fontId="3" numFmtId="3" xfId="0" applyAlignment="1" applyBorder="1" applyFont="1" applyNumberFormat="1">
      <alignment horizontal="center"/>
    </xf>
    <xf borderId="0" fillId="0" fontId="3" numFmtId="3" xfId="0" applyFont="1" applyNumberFormat="1"/>
    <xf borderId="14" fillId="0" fontId="2" numFmtId="3" xfId="0" applyBorder="1" applyFont="1" applyNumberFormat="1"/>
    <xf borderId="15" fillId="0" fontId="2" numFmtId="3" xfId="0" applyBorder="1" applyFont="1" applyNumberFormat="1"/>
    <xf borderId="14" fillId="0" fontId="3" numFmtId="3" xfId="0" applyBorder="1" applyFont="1" applyNumberFormat="1"/>
    <xf borderId="14" fillId="0" fontId="3" numFmtId="49" xfId="0" applyAlignment="1" applyBorder="1" applyFont="1" applyNumberFormat="1">
      <alignment horizontal="right"/>
    </xf>
    <xf borderId="0" fillId="0" fontId="5" numFmtId="3" xfId="0" applyFont="1" applyNumberFormat="1"/>
    <xf borderId="0" fillId="0" fontId="2" numFmtId="3" xfId="0" applyAlignment="1" applyFont="1" applyNumberFormat="1">
      <alignment horizontal="left"/>
    </xf>
    <xf borderId="1" fillId="2" fontId="2" numFmtId="10" xfId="0" applyBorder="1" applyFont="1" applyNumberFormat="1"/>
    <xf borderId="1" fillId="2" fontId="2" numFmtId="165" xfId="0" applyBorder="1" applyFont="1" applyNumberFormat="1"/>
    <xf borderId="0" fillId="0" fontId="2" numFmtId="10" xfId="0" applyFont="1" applyNumberFormat="1"/>
    <xf borderId="0" fillId="0" fontId="2" numFmtId="4" xfId="0" applyAlignment="1" applyFont="1" applyNumberFormat="1">
      <alignment readingOrder="0"/>
    </xf>
    <xf borderId="0" fillId="0" fontId="2" numFmtId="165" xfId="0" applyFont="1" applyNumberFormat="1"/>
    <xf borderId="1" fillId="2" fontId="2" numFmtId="166" xfId="0" applyBorder="1" applyFont="1" applyNumberFormat="1"/>
    <xf borderId="0" fillId="0" fontId="6" numFmtId="3" xfId="0" applyFont="1" applyNumberFormat="1"/>
    <xf borderId="0" fillId="0" fontId="2" numFmtId="166" xfId="0" applyFont="1" applyNumberFormat="1"/>
    <xf borderId="16" fillId="0" fontId="2" numFmtId="166" xfId="0" applyBorder="1" applyFont="1" applyNumberFormat="1"/>
    <xf borderId="16" fillId="0" fontId="2" numFmtId="0" xfId="0" applyBorder="1" applyFont="1"/>
    <xf borderId="16" fillId="0" fontId="2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619125</xdr:colOff>
      <xdr:row>247</xdr:row>
      <xdr:rowOff>0</xdr:rowOff>
    </xdr:from>
    <xdr:ext cx="4391025" cy="1895475"/>
    <xdr:sp>
      <xdr:nvSpPr>
        <xdr:cNvPr id="3" name="Shape 3"/>
        <xdr:cNvSpPr txBox="1"/>
      </xdr:nvSpPr>
      <xdr:spPr>
        <a:xfrm>
          <a:off x="3155250" y="2837025"/>
          <a:ext cx="4381500" cy="188595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Hvis negativt svar skriv med minus "-" foran tallet.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Skriv tall uten mellomrom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Rund opp eller ned krone-sluttsvaret til hele tall.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Ha med 2 desimaler i regnskapsanalysespørsmålene (spørsmål 30-46) der det ikke er hele kronesvar.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Husk å skrive prosentsvar på formen xx,xx. Bruk to desimaler (eks 1/3=0,3333 skrives da 33,33).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Rund opp eller ned dager til hele dager.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26.13"/>
    <col customWidth="1" min="3" max="6" width="17.63"/>
    <col customWidth="1" min="7" max="9" width="13.38"/>
    <col customWidth="1" min="10" max="10" width="7.75"/>
    <col customWidth="1" min="11" max="11" width="13.0"/>
    <col customWidth="1" min="12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>
        <v>1.0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/>
      <c r="B5" s="4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"/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3">
        <v>2.0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"/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3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3"/>
      <c r="B11" s="4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">
        <v>3.0</v>
      </c>
      <c r="B13" s="2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"/>
      <c r="B14" s="4" t="s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">
        <v>4.0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3"/>
      <c r="B18" s="2" t="s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"/>
      <c r="B19" s="2">
        <f>1000000*0.6</f>
        <v>600000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">
        <v>5.0</v>
      </c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"/>
      <c r="B22" s="2" t="s">
        <v>11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"/>
      <c r="B23" s="4" t="s">
        <v>12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"/>
      <c r="B24" s="2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">
        <v>6.0</v>
      </c>
      <c r="B25" s="2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"/>
      <c r="B26" s="4" t="s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"/>
      <c r="B27" s="2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"/>
      <c r="B28" s="2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"/>
      <c r="B29" s="2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"/>
      <c r="B30" s="2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">
        <v>7.0</v>
      </c>
      <c r="B31" s="2" t="s">
        <v>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"/>
      <c r="B32" s="2" t="s">
        <v>23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"/>
      <c r="B33" s="4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">
        <v>8.0</v>
      </c>
      <c r="B35" s="2" t="s">
        <v>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"/>
      <c r="B36" s="2" t="s">
        <v>26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"/>
      <c r="B37" s="4" t="s">
        <v>27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">
        <v>9.0</v>
      </c>
      <c r="B39" s="2" t="s">
        <v>28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"/>
      <c r="B40" s="2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"/>
      <c r="B41" s="4" t="s">
        <v>27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">
        <v>10.0</v>
      </c>
      <c r="B43" s="2" t="s">
        <v>29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"/>
      <c r="B44" s="2" t="s">
        <v>30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"/>
      <c r="B45" s="4">
        <f>150000-50000</f>
        <v>100000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">
        <v>11.0</v>
      </c>
      <c r="B47" s="2" t="s">
        <v>31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"/>
      <c r="B48" s="4" t="s">
        <v>32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"/>
      <c r="B49" s="2" t="s">
        <v>33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">
        <v>12.0</v>
      </c>
      <c r="B51" s="2" t="s">
        <v>34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/>
      <c r="B52" s="2" t="s">
        <v>11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"/>
      <c r="B53" s="4" t="s">
        <v>12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">
        <v>13.0</v>
      </c>
      <c r="B55" s="2" t="s">
        <v>35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"/>
      <c r="B56" s="2" t="s">
        <v>36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"/>
      <c r="B58" s="5" t="s">
        <v>37</v>
      </c>
      <c r="C58" s="6"/>
      <c r="D58" s="5" t="s">
        <v>38</v>
      </c>
      <c r="E58" s="7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"/>
      <c r="B59" s="8" t="s">
        <v>39</v>
      </c>
      <c r="C59" s="9" t="s">
        <v>40</v>
      </c>
      <c r="D59" s="8" t="s">
        <v>41</v>
      </c>
      <c r="E59" s="10" t="s">
        <v>42</v>
      </c>
      <c r="F59" s="11" t="s">
        <v>43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"/>
      <c r="B60" s="11">
        <v>4200000.0</v>
      </c>
      <c r="C60" s="2">
        <v>2800000.0</v>
      </c>
      <c r="D60" s="12">
        <v>2200000.0</v>
      </c>
      <c r="E60" s="13">
        <v>2500000.0</v>
      </c>
      <c r="F60" s="14">
        <v>2300000.0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"/>
      <c r="B61" s="11"/>
      <c r="C61" s="10">
        <f>SUM(B60:C60)</f>
        <v>7000000</v>
      </c>
      <c r="D61" s="11">
        <f>SUM(D60:F60)</f>
        <v>7000000</v>
      </c>
      <c r="E61" s="10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54.0" customHeight="1">
      <c r="A63" s="3">
        <v>14.0</v>
      </c>
      <c r="B63" s="15" t="s">
        <v>44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"/>
      <c r="B67" s="5" t="s">
        <v>37</v>
      </c>
      <c r="C67" s="6"/>
      <c r="D67" s="5" t="s">
        <v>38</v>
      </c>
      <c r="E67" s="7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"/>
      <c r="B68" s="8" t="s">
        <v>39</v>
      </c>
      <c r="C68" s="9" t="s">
        <v>40</v>
      </c>
      <c r="D68" s="8" t="s">
        <v>41</v>
      </c>
      <c r="E68" s="10" t="s">
        <v>42</v>
      </c>
      <c r="F68" s="11" t="s">
        <v>43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"/>
      <c r="B69" s="11">
        <v>1.23E7</v>
      </c>
      <c r="C69" s="2">
        <v>8700000.0</v>
      </c>
      <c r="D69" s="16">
        <f>C70-16800000</f>
        <v>4200000</v>
      </c>
      <c r="E69" s="14">
        <v>1.1E7</v>
      </c>
      <c r="F69" s="14">
        <f>D74</f>
        <v>5800000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"/>
      <c r="B70" s="11"/>
      <c r="C70" s="10">
        <f>SUM(B69:C69)</f>
        <v>21000000</v>
      </c>
      <c r="D70" s="8">
        <f>SUM(D69:F69)</f>
        <v>21000000</v>
      </c>
      <c r="E70" s="11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"/>
      <c r="B72" s="2" t="s">
        <v>45</v>
      </c>
      <c r="C72" s="2">
        <v>2900000.0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3"/>
      <c r="B73" s="2" t="s">
        <v>46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3"/>
      <c r="B74" s="4" t="s">
        <v>47</v>
      </c>
      <c r="C74" s="4" t="s">
        <v>43</v>
      </c>
      <c r="D74" s="4">
        <f>C69-C72</f>
        <v>5800000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"/>
      <c r="B75" s="2"/>
      <c r="C75" s="4" t="s">
        <v>41</v>
      </c>
      <c r="D75" s="4">
        <f>D69</f>
        <v>4200000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">
        <v>15.0</v>
      </c>
      <c r="B77" s="2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"/>
      <c r="B79" s="2" t="s">
        <v>49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"/>
      <c r="B80" s="2" t="s">
        <v>50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"/>
      <c r="B81" s="2" t="s">
        <v>51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"/>
      <c r="B82" s="4" t="s">
        <v>52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"/>
      <c r="B83" s="2" t="s">
        <v>53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3"/>
      <c r="B84" s="2" t="s">
        <v>54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3">
        <v>16.0</v>
      </c>
      <c r="B86" s="2" t="s">
        <v>55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"/>
      <c r="B88" s="2" t="s">
        <v>56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"/>
      <c r="B89" s="2" t="s">
        <v>57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"/>
      <c r="B90" s="2" t="s">
        <v>53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"/>
      <c r="B91" s="2" t="s">
        <v>49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"/>
      <c r="B92" s="4" t="s">
        <v>58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"/>
      <c r="B93" s="2" t="s">
        <v>51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">
        <v>17.0</v>
      </c>
      <c r="B95" s="2" t="s">
        <v>59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3"/>
      <c r="B96" s="4" t="s">
        <v>60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3"/>
      <c r="B97" s="2" t="s">
        <v>61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3"/>
      <c r="B98" s="2" t="s">
        <v>62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"/>
      <c r="B99" s="2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"/>
      <c r="B100" s="2" t="s">
        <v>64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"/>
      <c r="B101" s="2" t="s">
        <v>65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3">
        <v>18.0</v>
      </c>
      <c r="B103" s="2" t="s">
        <v>66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"/>
      <c r="B104" s="2" t="s">
        <v>60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"/>
      <c r="B105" s="4" t="s">
        <v>61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"/>
      <c r="B106" s="2" t="s">
        <v>62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"/>
      <c r="B107" s="2" t="s">
        <v>63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"/>
      <c r="B108" s="2" t="s">
        <v>64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"/>
      <c r="B109" s="2" t="s">
        <v>65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">
        <v>19.0</v>
      </c>
      <c r="B111" s="2" t="s">
        <v>67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"/>
      <c r="B112" s="2" t="s">
        <v>68</v>
      </c>
      <c r="C112" s="17">
        <v>1920.0</v>
      </c>
      <c r="D112" s="4" t="s">
        <v>69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"/>
      <c r="B113" s="2" t="s">
        <v>68</v>
      </c>
      <c r="C113" s="18">
        <v>1500.0</v>
      </c>
      <c r="D113" s="2" t="s">
        <v>49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3"/>
      <c r="B114" s="2" t="s">
        <v>68</v>
      </c>
      <c r="C114" s="18">
        <v>1230.0</v>
      </c>
      <c r="D114" s="2" t="s">
        <v>70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"/>
      <c r="B115" s="2" t="s">
        <v>68</v>
      </c>
      <c r="C115" s="18">
        <v>1810.0</v>
      </c>
      <c r="D115" s="2" t="s">
        <v>71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">
        <v>20.0</v>
      </c>
      <c r="B117" s="2" t="s">
        <v>72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"/>
      <c r="B118" s="2" t="s">
        <v>68</v>
      </c>
      <c r="C118" s="18">
        <v>2000.0</v>
      </c>
      <c r="D118" s="2" t="s">
        <v>73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"/>
      <c r="B119" s="2" t="s">
        <v>68</v>
      </c>
      <c r="C119" s="18">
        <v>2120.0</v>
      </c>
      <c r="D119" s="2" t="s">
        <v>74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"/>
      <c r="B120" s="2" t="s">
        <v>68</v>
      </c>
      <c r="C120" s="17">
        <v>2800.0</v>
      </c>
      <c r="D120" s="4" t="s">
        <v>75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3"/>
      <c r="B121" s="2" t="s">
        <v>68</v>
      </c>
      <c r="C121" s="18">
        <v>2220.0</v>
      </c>
      <c r="D121" s="2" t="s">
        <v>76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3">
        <v>21.0</v>
      </c>
      <c r="B123" s="2" t="s">
        <v>77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3"/>
      <c r="B124" s="2" t="s">
        <v>78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"/>
      <c r="B126" s="2" t="s">
        <v>79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3"/>
      <c r="B127" s="2" t="s">
        <v>80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"/>
      <c r="B128" s="4" t="s">
        <v>81</v>
      </c>
      <c r="C128" s="4">
        <f>11800000-12340000+1050000</f>
        <v>510000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">
        <v>22.0</v>
      </c>
      <c r="B130" s="2" t="s">
        <v>82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3"/>
      <c r="B131" s="2" t="s">
        <v>83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3"/>
      <c r="B132" s="2" t="s">
        <v>84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3"/>
      <c r="B133" s="2" t="s">
        <v>85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"/>
      <c r="B135" s="2" t="s">
        <v>86</v>
      </c>
      <c r="C135" s="2">
        <v>1600000.0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3"/>
      <c r="B136" s="2" t="s">
        <v>87</v>
      </c>
      <c r="C136" s="2">
        <v>1300000.0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3"/>
      <c r="B137" s="2" t="s">
        <v>88</v>
      </c>
      <c r="C137" s="2">
        <v>1.35E7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3"/>
      <c r="B139" s="2" t="s">
        <v>89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3"/>
      <c r="B140" s="2" t="s">
        <v>90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3"/>
      <c r="B141" s="2">
        <f>C137-C135+C136</f>
        <v>13200000</v>
      </c>
      <c r="C141" s="19" t="s">
        <v>91</v>
      </c>
      <c r="D141" s="2"/>
      <c r="E141" s="2" t="s">
        <v>92</v>
      </c>
      <c r="F141" s="2">
        <f>C135+B141-C136</f>
        <v>13500000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3"/>
      <c r="B143" s="4" t="s">
        <v>93</v>
      </c>
      <c r="C143" s="4">
        <f>B141*1.25</f>
        <v>16500000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3">
        <v>23.0</v>
      </c>
      <c r="B145" s="2" t="s">
        <v>94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3"/>
      <c r="B147" s="4" t="s">
        <v>95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3"/>
      <c r="B148" s="2" t="s">
        <v>96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3">
        <v>24.0</v>
      </c>
      <c r="B150" s="2" t="s">
        <v>97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3"/>
      <c r="B151" s="2" t="s">
        <v>98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3"/>
      <c r="B152" s="2" t="s">
        <v>99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3"/>
      <c r="B154" s="2" t="s">
        <v>100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3"/>
      <c r="B155" s="2" t="s">
        <v>101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3"/>
      <c r="B156" s="4" t="s">
        <v>102</v>
      </c>
      <c r="C156" s="4"/>
      <c r="D156" s="4"/>
      <c r="E156" s="4"/>
      <c r="F156" s="4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3"/>
      <c r="B157" s="2" t="s">
        <v>103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3"/>
      <c r="B158" s="2" t="s">
        <v>104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3"/>
      <c r="B159" s="2" t="s">
        <v>105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3"/>
      <c r="B161" s="5" t="s">
        <v>37</v>
      </c>
      <c r="C161" s="20"/>
      <c r="D161" s="5" t="s">
        <v>38</v>
      </c>
      <c r="E161" s="7"/>
      <c r="F161" s="7"/>
      <c r="G161" s="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3"/>
      <c r="B162" s="8" t="s">
        <v>39</v>
      </c>
      <c r="C162" s="9" t="s">
        <v>40</v>
      </c>
      <c r="D162" s="8" t="s">
        <v>41</v>
      </c>
      <c r="E162" s="10" t="s">
        <v>42</v>
      </c>
      <c r="F162" s="11" t="s">
        <v>43</v>
      </c>
      <c r="G162" s="11" t="s">
        <v>106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3"/>
      <c r="B163" s="8">
        <f>2000000/1.25</f>
        <v>1600000</v>
      </c>
      <c r="C163" s="9"/>
      <c r="D163" s="8"/>
      <c r="E163" s="10"/>
      <c r="F163" s="10">
        <f>2000000</f>
        <v>2000000</v>
      </c>
      <c r="G163" s="9">
        <f>-F163*0.2</f>
        <v>-400000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3">
        <v>25.0</v>
      </c>
      <c r="B166" s="2" t="s">
        <v>107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3"/>
      <c r="B167" s="2" t="s">
        <v>108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3"/>
      <c r="B169" s="2" t="s">
        <v>109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3"/>
      <c r="B170" s="2" t="s">
        <v>110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3"/>
      <c r="B171" s="2" t="s">
        <v>111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3"/>
      <c r="B172" s="2" t="s">
        <v>112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3"/>
      <c r="B173" s="2" t="s">
        <v>113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3"/>
      <c r="B174" s="4" t="s">
        <v>114</v>
      </c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3"/>
      <c r="B176" s="2" t="s">
        <v>115</v>
      </c>
      <c r="C176" s="2">
        <v>400000.0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3"/>
      <c r="B177" s="2" t="s">
        <v>88</v>
      </c>
      <c r="C177" s="2">
        <f>B185</f>
        <v>-240000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3"/>
      <c r="B179" s="21" t="s">
        <v>116</v>
      </c>
      <c r="C179" s="22" t="s">
        <v>117</v>
      </c>
      <c r="D179" s="23">
        <f>(C176+C177)/C176</f>
        <v>0.4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3"/>
      <c r="C180" s="24" t="s">
        <v>118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3"/>
      <c r="B182" s="25">
        <v>0.4</v>
      </c>
      <c r="C182" s="22" t="s">
        <v>119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3"/>
      <c r="B183" s="2"/>
      <c r="C183" s="24" t="s">
        <v>120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3"/>
      <c r="B184" s="2">
        <f>0.4*400000</f>
        <v>160000</v>
      </c>
      <c r="C184" s="19" t="s">
        <v>121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3"/>
      <c r="B185" s="2">
        <f>160000-400000</f>
        <v>-240000</v>
      </c>
      <c r="C185" s="19" t="s">
        <v>122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3"/>
      <c r="B187" s="5" t="s">
        <v>37</v>
      </c>
      <c r="C187" s="6"/>
      <c r="D187" s="5" t="s">
        <v>38</v>
      </c>
      <c r="E187" s="7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3"/>
      <c r="B188" s="8" t="s">
        <v>39</v>
      </c>
      <c r="C188" s="9" t="s">
        <v>40</v>
      </c>
      <c r="D188" s="8" t="s">
        <v>41</v>
      </c>
      <c r="E188" s="10" t="s">
        <v>42</v>
      </c>
      <c r="F188" s="11" t="s">
        <v>43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3"/>
      <c r="B189" s="16"/>
      <c r="C189" s="14">
        <f>400000*1.25</f>
        <v>500000</v>
      </c>
      <c r="D189" s="13">
        <v>400000.0</v>
      </c>
      <c r="E189" s="14"/>
      <c r="F189" s="14">
        <v>100000.0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3"/>
      <c r="B190" s="26"/>
      <c r="C190" s="27">
        <v>-240000.0</v>
      </c>
      <c r="D190" s="28">
        <v>-240000.0</v>
      </c>
      <c r="E190" s="27"/>
      <c r="F190" s="2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3">
        <v>26.0</v>
      </c>
      <c r="B193" s="2" t="s">
        <v>123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3"/>
      <c r="B195" s="2" t="s">
        <v>124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3"/>
      <c r="B196" s="2" t="s">
        <v>125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3"/>
      <c r="B197" s="2" t="s">
        <v>126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3"/>
      <c r="B198" s="2" t="s">
        <v>127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9"/>
      <c r="B199" s="4" t="s">
        <v>128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"/>
      <c r="B200" s="2" t="s">
        <v>129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3">
        <v>27.0</v>
      </c>
      <c r="B202" s="2" t="s">
        <v>130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3"/>
      <c r="B204" s="2" t="s">
        <v>131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3"/>
      <c r="B205" s="2" t="s">
        <v>132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3"/>
      <c r="B206" s="2" t="s">
        <v>133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3"/>
      <c r="B207" s="4" t="s">
        <v>134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3"/>
      <c r="B208" s="2" t="s">
        <v>135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3"/>
      <c r="B209" s="2" t="s">
        <v>136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3"/>
      <c r="B210" s="3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3">
        <v>28.0</v>
      </c>
      <c r="B211" s="2" t="s">
        <v>137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3"/>
      <c r="B213" s="4" t="s">
        <v>138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3"/>
      <c r="B214" s="2" t="s">
        <v>139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3">
        <v>29.0</v>
      </c>
      <c r="B216" s="2" t="s">
        <v>140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3"/>
      <c r="B218" s="4" t="s">
        <v>141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3"/>
      <c r="B219" s="2" t="s">
        <v>142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3"/>
      <c r="B221" s="30" t="s">
        <v>143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3"/>
      <c r="B222" s="2" t="s">
        <v>144</v>
      </c>
      <c r="C222" s="2">
        <v>5.0E7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3"/>
      <c r="B223" s="2" t="s">
        <v>145</v>
      </c>
      <c r="C223" s="2">
        <v>4.2E7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3"/>
      <c r="B224" s="31" t="s">
        <v>146</v>
      </c>
      <c r="C224" s="31">
        <f>C222-C223</f>
        <v>8000000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3"/>
      <c r="B225" s="2" t="s">
        <v>147</v>
      </c>
      <c r="C225" s="2">
        <v>50000.0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3"/>
      <c r="B226" s="2" t="s">
        <v>148</v>
      </c>
      <c r="C226" s="2">
        <v>2000000.0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3"/>
      <c r="B227" s="31" t="s">
        <v>149</v>
      </c>
      <c r="C227" s="31">
        <v>6050000.0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3"/>
      <c r="B228" s="2" t="s">
        <v>150</v>
      </c>
      <c r="C228" s="2">
        <v>1512500.0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3"/>
      <c r="B229" s="32" t="s">
        <v>151</v>
      </c>
      <c r="C229" s="32">
        <v>4537500.0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3"/>
      <c r="B232" s="33" t="s">
        <v>152</v>
      </c>
      <c r="C232" s="34">
        <v>2017.0</v>
      </c>
      <c r="D232" s="34">
        <v>2016.0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3"/>
      <c r="B233" s="2" t="s">
        <v>153</v>
      </c>
      <c r="C233" s="2">
        <v>7.5E7</v>
      </c>
      <c r="D233" s="2">
        <v>7.0E7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3"/>
      <c r="B234" s="2" t="s">
        <v>154</v>
      </c>
      <c r="C234" s="2">
        <v>3.2E7</v>
      </c>
      <c r="D234" s="2">
        <v>3.0E7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3"/>
      <c r="B235" s="33" t="s">
        <v>155</v>
      </c>
      <c r="C235" s="33">
        <v>1.07E8</v>
      </c>
      <c r="D235" s="33">
        <v>1.0E8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3"/>
      <c r="B236" s="2" t="s">
        <v>156</v>
      </c>
      <c r="C236" s="2">
        <v>3.25E7</v>
      </c>
      <c r="D236" s="2">
        <v>2.79625E7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3"/>
      <c r="B237" s="2" t="s">
        <v>157</v>
      </c>
      <c r="C237" s="2">
        <v>5.5E7</v>
      </c>
      <c r="D237" s="2">
        <v>5.3E7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3"/>
      <c r="B238" s="2" t="s">
        <v>158</v>
      </c>
      <c r="C238" s="2">
        <v>1.95E7</v>
      </c>
      <c r="D238" s="2">
        <v>1.90375E7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3"/>
      <c r="B239" s="33" t="s">
        <v>159</v>
      </c>
      <c r="C239" s="33">
        <v>1.07E8</v>
      </c>
      <c r="D239" s="33">
        <v>1.0E8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3"/>
      <c r="B240" s="35" t="s">
        <v>160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3"/>
      <c r="B241" s="2" t="s">
        <v>161</v>
      </c>
      <c r="C241" s="2">
        <v>6500000.0</v>
      </c>
      <c r="D241" s="2">
        <v>5000000.0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3"/>
      <c r="B242" s="2" t="s">
        <v>162</v>
      </c>
      <c r="C242" s="2">
        <v>5000000.0</v>
      </c>
      <c r="D242" s="2">
        <v>4800000.0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3"/>
      <c r="B243" s="2" t="s">
        <v>163</v>
      </c>
      <c r="C243" s="2">
        <v>5600000.0</v>
      </c>
      <c r="D243" s="2">
        <v>5350000.0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3"/>
      <c r="B244" s="2" t="s">
        <v>164</v>
      </c>
      <c r="C244" s="2">
        <v>3.75E7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3"/>
      <c r="B247" s="2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3">
        <v>30.0</v>
      </c>
      <c r="B248" s="36" t="s">
        <v>166</v>
      </c>
      <c r="C248" s="2"/>
      <c r="D248" s="2"/>
      <c r="E248" s="37">
        <f>C224/C222</f>
        <v>0.16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3"/>
      <c r="B249" s="3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3">
        <v>31.0</v>
      </c>
      <c r="B250" s="36" t="s">
        <v>167</v>
      </c>
      <c r="C250" s="2"/>
      <c r="D250" s="2"/>
      <c r="E250" s="37">
        <f>C236/C239</f>
        <v>0.3037383178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3"/>
      <c r="B251" s="3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3">
        <v>32.0</v>
      </c>
      <c r="B252" s="36" t="s">
        <v>168</v>
      </c>
      <c r="C252" s="2"/>
      <c r="D252" s="2"/>
      <c r="E252" s="38">
        <f>C234/C238</f>
        <v>1.641025641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3"/>
      <c r="B253" s="3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3">
        <v>33.0</v>
      </c>
      <c r="B254" s="36" t="s">
        <v>169</v>
      </c>
      <c r="C254" s="2"/>
      <c r="D254" s="2"/>
      <c r="E254" s="37">
        <f>(C227+C226)/((C239+D239)/2)</f>
        <v>0.07777777778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3"/>
      <c r="B255" s="3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3">
        <v>34.0</v>
      </c>
      <c r="B256" s="2" t="s">
        <v>170</v>
      </c>
      <c r="C256" s="2"/>
      <c r="D256" s="2"/>
      <c r="E256" s="37">
        <f>(C227+C226)/C222</f>
        <v>0.161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3"/>
      <c r="B257" s="3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3">
        <v>35.0</v>
      </c>
      <c r="B258" s="2" t="s">
        <v>171</v>
      </c>
      <c r="C258" s="2"/>
      <c r="D258" s="2"/>
      <c r="E258" s="38">
        <f>C222/((C239+D239)/2)</f>
        <v>0.4830917874</v>
      </c>
      <c r="F258" s="39"/>
      <c r="G258" s="3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3"/>
      <c r="B259" s="3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3">
        <v>36.0</v>
      </c>
      <c r="B260" s="2" t="s">
        <v>172</v>
      </c>
      <c r="C260" s="2"/>
      <c r="D260" s="2"/>
      <c r="E260" s="37">
        <f>E256*E258</f>
        <v>0.07777777778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3"/>
      <c r="B261" s="2"/>
      <c r="C261" s="2"/>
      <c r="D261" s="2"/>
      <c r="E261" s="3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3">
        <v>37.0</v>
      </c>
      <c r="B262" s="36" t="s">
        <v>173</v>
      </c>
      <c r="C262" s="2"/>
      <c r="D262" s="2"/>
      <c r="E262" s="37">
        <f>C227/((C236+D236)/2)</f>
        <v>0.2001240438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3"/>
      <c r="B263" s="3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3">
        <v>38.0</v>
      </c>
      <c r="B264" s="36" t="s">
        <v>174</v>
      </c>
      <c r="C264" s="2"/>
      <c r="D264" s="2"/>
      <c r="E264" s="37">
        <f>C226/((C237+C238+D237+D238)/2)</f>
        <v>0.02729676704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3"/>
      <c r="B265" s="36"/>
      <c r="C265" s="2"/>
      <c r="D265" s="2"/>
      <c r="E265" s="3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3">
        <v>39.0</v>
      </c>
      <c r="B266" s="36" t="s">
        <v>175</v>
      </c>
      <c r="C266" s="2"/>
      <c r="D266" s="2"/>
      <c r="E266" s="38">
        <f>((C237+C238+D237+D238)/2)/((C236+D236)/2)</f>
        <v>2.423609675</v>
      </c>
      <c r="F266" s="40">
        <f>(C237+C238)/C236</f>
        <v>2.292307692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3"/>
      <c r="B267" s="36"/>
      <c r="C267" s="2"/>
      <c r="D267" s="2"/>
      <c r="E267" s="4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3">
        <v>40.0</v>
      </c>
      <c r="B268" s="36" t="s">
        <v>176</v>
      </c>
      <c r="C268" s="2"/>
      <c r="D268" s="2"/>
      <c r="E268" s="37">
        <f>E254+(E254-E264)*E266</f>
        <v>0.2001240438</v>
      </c>
      <c r="F268" s="40">
        <v>19.35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3"/>
      <c r="B269" s="3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3">
        <v>41.0</v>
      </c>
      <c r="B270" s="36" t="s">
        <v>177</v>
      </c>
      <c r="C270" s="2">
        <f>C244+C241-D241</f>
        <v>39000000</v>
      </c>
      <c r="D270" s="2">
        <f>C270*1.25</f>
        <v>48750000</v>
      </c>
      <c r="E270" s="4">
        <f>D243+D270-C243</f>
        <v>48500000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3"/>
      <c r="B271" s="3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3">
        <v>42.0</v>
      </c>
      <c r="B272" s="36" t="s">
        <v>178</v>
      </c>
      <c r="C272" s="2"/>
      <c r="D272" s="2"/>
      <c r="E272" s="4">
        <f>C222*1.25+D242-C242</f>
        <v>62300000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3"/>
      <c r="B273" s="3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3">
        <v>43.0</v>
      </c>
      <c r="B274" s="36" t="s">
        <v>179</v>
      </c>
      <c r="C274" s="2"/>
      <c r="D274" s="2">
        <f>(C241+D241)/2</f>
        <v>5750000</v>
      </c>
      <c r="E274" s="42">
        <f>D274/C244*365</f>
        <v>55.96666667</v>
      </c>
      <c r="F274" s="43" t="s">
        <v>180</v>
      </c>
      <c r="G274" s="43">
        <f>D274/C244*365</f>
        <v>55.96666667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3"/>
      <c r="B275" s="36"/>
      <c r="C275" s="2"/>
      <c r="D275" s="2"/>
      <c r="E275" s="4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3">
        <v>44.0</v>
      </c>
      <c r="B276" s="36" t="s">
        <v>181</v>
      </c>
      <c r="C276" s="2"/>
      <c r="D276" s="2">
        <f>(C242+D242)/2</f>
        <v>4900000</v>
      </c>
      <c r="E276" s="4">
        <f>(D276/(C222*1.25))*365</f>
        <v>28.616</v>
      </c>
      <c r="F276" s="43" t="s">
        <v>180</v>
      </c>
      <c r="G276" s="43">
        <f>(D276/(C222*1.25))*365</f>
        <v>28.616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3"/>
      <c r="B277" s="3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3">
        <v>45.0</v>
      </c>
      <c r="B278" s="36" t="s">
        <v>182</v>
      </c>
      <c r="C278" s="2"/>
      <c r="D278" s="2"/>
      <c r="E278" s="4">
        <f>C236-D236-C229</f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3"/>
      <c r="B279" s="3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3">
        <v>46.0</v>
      </c>
      <c r="B280" s="36" t="s">
        <v>183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3"/>
      <c r="B281" s="4">
        <v>1.08E8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3"/>
      <c r="B282" s="30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3">
        <v>47.0</v>
      </c>
      <c r="B284" s="2" t="s">
        <v>184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3"/>
      <c r="B285" s="2" t="s">
        <v>185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3"/>
      <c r="B286" s="2" t="s">
        <v>186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3"/>
      <c r="B287" s="4" t="s">
        <v>187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3"/>
      <c r="B288" s="2" t="s">
        <v>188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3"/>
      <c r="B289" s="2" t="s">
        <v>13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3">
        <v>48.0</v>
      </c>
      <c r="B290" s="2" t="s">
        <v>189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3"/>
      <c r="B291" s="4" t="s">
        <v>26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3"/>
      <c r="B292" s="2" t="s">
        <v>27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3"/>
      <c r="B293" s="2" t="s">
        <v>13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3">
        <v>49.0</v>
      </c>
      <c r="B294" s="2" t="s">
        <v>190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3"/>
      <c r="B295" s="2" t="s">
        <v>26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3"/>
      <c r="B296" s="4" t="s">
        <v>27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3"/>
      <c r="B297" s="30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3">
        <v>50.0</v>
      </c>
      <c r="B298" s="18" t="s">
        <v>191</v>
      </c>
      <c r="C298" s="18"/>
      <c r="D298" s="18"/>
      <c r="E298" s="18"/>
      <c r="F298" s="18"/>
      <c r="G298" s="18"/>
      <c r="H298" s="1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3"/>
      <c r="B299" s="45" t="s">
        <v>192</v>
      </c>
      <c r="C299" s="46">
        <v>0.0</v>
      </c>
      <c r="D299" s="45">
        <v>1000.0</v>
      </c>
      <c r="E299" s="45">
        <v>2000.0</v>
      </c>
      <c r="F299" s="45">
        <v>3000.0</v>
      </c>
      <c r="G299" s="45">
        <v>4000.0</v>
      </c>
      <c r="H299" s="45">
        <v>5000.0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3"/>
      <c r="B300" s="45" t="s">
        <v>193</v>
      </c>
      <c r="C300" s="47">
        <v>8.0</v>
      </c>
      <c r="D300" s="47">
        <v>9.0</v>
      </c>
      <c r="E300" s="47">
        <v>10.0</v>
      </c>
      <c r="F300" s="47">
        <v>11.0</v>
      </c>
      <c r="G300" s="47">
        <v>12.0</v>
      </c>
      <c r="H300" s="47">
        <v>13.0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3"/>
      <c r="B302" s="2" t="s">
        <v>194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3"/>
      <c r="B303" s="4" t="s">
        <v>47</v>
      </c>
      <c r="C303" s="4">
        <f>11-8</f>
        <v>3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B179:B180"/>
    <mergeCell ref="B187:C187"/>
    <mergeCell ref="D187:F187"/>
    <mergeCell ref="B58:C58"/>
    <mergeCell ref="D58:F58"/>
    <mergeCell ref="B63:F63"/>
    <mergeCell ref="B67:C67"/>
    <mergeCell ref="D67:F67"/>
    <mergeCell ref="D161:G161"/>
    <mergeCell ref="D179:D180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2019-02-04T13:21:47Z</dcterms:created>
  <dc:creator>Torunn</dc:creator>
</cp:coreProperties>
</file>