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drawings/drawing4.xml" ContentType="application/vnd.openxmlformats-officedocument.drawingml.chartshapes+xml"/>
  <Override PartName="/xl/charts/chart8.xml" ContentType="application/vnd.openxmlformats-officedocument.drawingml.chart+xml"/>
  <Override PartName="/xl/drawings/drawing5.xml" ContentType="application/vnd.openxmlformats-officedocument.drawingml.chartshapes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ml.chartshapes+xml"/>
  <Override PartName="/xl/charts/chart19.xml" ContentType="application/vnd.openxmlformats-officedocument.drawingml.chart+xml"/>
  <Override PartName="/xl/drawings/drawing9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60" windowWidth="24270" windowHeight="5880" tabRatio="810"/>
  </bookViews>
  <sheets>
    <sheet name="All data" sheetId="1" r:id="rId1"/>
    <sheet name="Statistics" sheetId="30" r:id="rId2"/>
    <sheet name="Comparison 2013 - 2014" sheetId="31" r:id="rId3"/>
  </sheets>
  <externalReferences>
    <externalReference r:id="rId4"/>
  </externalReferences>
  <definedNames>
    <definedName name="_xlnm._FilterDatabase" localSheetId="0" hidden="1">'All data'!$A$1:$BF$4</definedName>
    <definedName name="_xlnm.Print_Area" localSheetId="0">'All data'!#REF!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U4" i="1" l="1"/>
  <c r="BI4" i="1"/>
  <c r="BJ4" i="1"/>
  <c r="BK4" i="1"/>
  <c r="BL4" i="1"/>
  <c r="BM4" i="1"/>
  <c r="BN4" i="1"/>
  <c r="BO4" i="1"/>
  <c r="BP4" i="1"/>
  <c r="BQ4" i="1"/>
  <c r="BX4" i="1"/>
  <c r="BY4" i="1"/>
  <c r="CB4" i="1"/>
  <c r="CK4" i="1"/>
  <c r="BZ4" i="1"/>
  <c r="CC4" i="1"/>
  <c r="CL4" i="1"/>
  <c r="CD4" i="1"/>
  <c r="CM4" i="1"/>
  <c r="CE4" i="1"/>
  <c r="CN4" i="1"/>
  <c r="CF4" i="1"/>
  <c r="CO4" i="1"/>
  <c r="CG4" i="1"/>
  <c r="CP4" i="1"/>
  <c r="CH4" i="1"/>
  <c r="CQ4" i="1"/>
  <c r="CI4" i="1"/>
  <c r="CR4" i="1"/>
  <c r="CT4" i="1"/>
  <c r="BI5" i="1"/>
  <c r="BE5" i="1"/>
  <c r="BF5" i="1"/>
  <c r="BS5" i="1"/>
  <c r="BI6" i="1"/>
  <c r="BE6" i="1"/>
  <c r="BF6" i="1"/>
  <c r="BS6" i="1"/>
  <c r="BI7" i="1"/>
  <c r="BE7" i="1"/>
  <c r="BF7" i="1"/>
  <c r="BS7" i="1"/>
  <c r="BI8" i="1"/>
  <c r="BE8" i="1"/>
  <c r="BF8" i="1"/>
  <c r="BS8" i="1"/>
  <c r="BI9" i="1"/>
  <c r="BE9" i="1"/>
  <c r="BF9" i="1"/>
  <c r="BS9" i="1"/>
  <c r="BI10" i="1"/>
  <c r="BE10" i="1"/>
  <c r="BF10" i="1"/>
  <c r="BS10" i="1"/>
  <c r="BI11" i="1"/>
  <c r="BE11" i="1"/>
  <c r="BF11" i="1"/>
  <c r="BS11" i="1"/>
  <c r="BI12" i="1"/>
  <c r="BE12" i="1"/>
  <c r="BF12" i="1"/>
  <c r="BS12" i="1"/>
  <c r="BI13" i="1"/>
  <c r="BE13" i="1"/>
  <c r="BF13" i="1"/>
  <c r="BS13" i="1"/>
  <c r="BI14" i="1"/>
  <c r="BE14" i="1"/>
  <c r="BF14" i="1"/>
  <c r="BS14" i="1"/>
  <c r="BE4" i="1"/>
  <c r="BF4" i="1"/>
  <c r="BS4" i="1"/>
  <c r="BT14" i="1"/>
  <c r="BT50" i="1"/>
  <c r="BT13" i="1"/>
  <c r="BT47" i="1"/>
  <c r="BT12" i="1"/>
  <c r="BT44" i="1"/>
  <c r="BT11" i="1"/>
  <c r="BT41" i="1"/>
  <c r="BT10" i="1"/>
  <c r="BT38" i="1"/>
  <c r="BT9" i="1"/>
  <c r="BT35" i="1"/>
  <c r="BT8" i="1"/>
  <c r="BT32" i="1"/>
  <c r="BT7" i="1"/>
  <c r="BT29" i="1"/>
  <c r="BT6" i="1"/>
  <c r="BT26" i="1"/>
  <c r="BT5" i="1"/>
  <c r="BT23" i="1"/>
  <c r="BT4" i="1"/>
  <c r="BT20" i="1"/>
  <c r="BS50" i="1"/>
  <c r="BR14" i="1"/>
  <c r="BR50" i="1"/>
  <c r="BQ14" i="1"/>
  <c r="BQ50" i="1"/>
  <c r="BP14" i="1"/>
  <c r="BP50" i="1"/>
  <c r="BO14" i="1"/>
  <c r="BO50" i="1"/>
  <c r="BS47" i="1"/>
  <c r="BR13" i="1"/>
  <c r="BR47" i="1"/>
  <c r="BQ13" i="1"/>
  <c r="BQ47" i="1"/>
  <c r="AL13" i="1"/>
  <c r="BP13" i="1"/>
  <c r="BP47" i="1"/>
  <c r="BO13" i="1"/>
  <c r="BO47" i="1"/>
  <c r="BS44" i="1"/>
  <c r="BR12" i="1"/>
  <c r="BR44" i="1"/>
  <c r="BQ12" i="1"/>
  <c r="BQ44" i="1"/>
  <c r="BP12" i="1"/>
  <c r="BP44" i="1"/>
  <c r="BO12" i="1"/>
  <c r="BO44" i="1"/>
  <c r="BS41" i="1"/>
  <c r="BR11" i="1"/>
  <c r="BR41" i="1"/>
  <c r="BQ11" i="1"/>
  <c r="BQ41" i="1"/>
  <c r="BP11" i="1"/>
  <c r="BP41" i="1"/>
  <c r="BO11" i="1"/>
  <c r="BO41" i="1"/>
  <c r="BS38" i="1"/>
  <c r="BR10" i="1"/>
  <c r="BR38" i="1"/>
  <c r="BQ10" i="1"/>
  <c r="BQ38" i="1"/>
  <c r="BP10" i="1"/>
  <c r="BP38" i="1"/>
  <c r="BO10" i="1"/>
  <c r="BO38" i="1"/>
  <c r="BS35" i="1"/>
  <c r="BR9" i="1"/>
  <c r="BR35" i="1"/>
  <c r="BQ9" i="1"/>
  <c r="BQ35" i="1"/>
  <c r="BP9" i="1"/>
  <c r="BP35" i="1"/>
  <c r="BO9" i="1"/>
  <c r="BO35" i="1"/>
  <c r="BS32" i="1"/>
  <c r="BR8" i="1"/>
  <c r="BR32" i="1"/>
  <c r="BQ8" i="1"/>
  <c r="BQ32" i="1"/>
  <c r="BP8" i="1"/>
  <c r="BP32" i="1"/>
  <c r="BO8" i="1"/>
  <c r="BO32" i="1"/>
  <c r="BS29" i="1"/>
  <c r="BR7" i="1"/>
  <c r="BR29" i="1"/>
  <c r="BQ7" i="1"/>
  <c r="BQ29" i="1"/>
  <c r="BP7" i="1"/>
  <c r="BP29" i="1"/>
  <c r="BO7" i="1"/>
  <c r="BO29" i="1"/>
  <c r="BS26" i="1"/>
  <c r="BR6" i="1"/>
  <c r="BR26" i="1"/>
  <c r="BQ6" i="1"/>
  <c r="BQ26" i="1"/>
  <c r="AL6" i="1"/>
  <c r="BP6" i="1"/>
  <c r="BP26" i="1"/>
  <c r="BO6" i="1"/>
  <c r="BO26" i="1"/>
  <c r="BS23" i="1"/>
  <c r="BR5" i="1"/>
  <c r="BR23" i="1"/>
  <c r="BQ5" i="1"/>
  <c r="BQ23" i="1"/>
  <c r="BP5" i="1"/>
  <c r="BP23" i="1"/>
  <c r="BO5" i="1"/>
  <c r="BO23" i="1"/>
  <c r="BS20" i="1"/>
  <c r="BR4" i="1"/>
  <c r="BR20" i="1"/>
  <c r="BQ20" i="1"/>
  <c r="BP20" i="1"/>
  <c r="BO20" i="1"/>
  <c r="BN14" i="1"/>
  <c r="BN50" i="1"/>
  <c r="BN13" i="1"/>
  <c r="BN47" i="1"/>
  <c r="BN12" i="1"/>
  <c r="BN44" i="1"/>
  <c r="BN11" i="1"/>
  <c r="BN41" i="1"/>
  <c r="AJ10" i="1"/>
  <c r="BN10" i="1"/>
  <c r="BN38" i="1"/>
  <c r="AJ9" i="1"/>
  <c r="BN9" i="1"/>
  <c r="BN35" i="1"/>
  <c r="AJ8" i="1"/>
  <c r="BN8" i="1"/>
  <c r="BN32" i="1"/>
  <c r="AJ7" i="1"/>
  <c r="BN7" i="1"/>
  <c r="BN29" i="1"/>
  <c r="BN6" i="1"/>
  <c r="BN26" i="1"/>
  <c r="BN5" i="1"/>
  <c r="BN23" i="1"/>
  <c r="BN20" i="1"/>
  <c r="BJ19" i="1"/>
  <c r="BK19" i="1"/>
  <c r="BL19" i="1"/>
  <c r="BM19" i="1"/>
  <c r="BJ5" i="1"/>
  <c r="BJ22" i="1"/>
  <c r="BK5" i="1"/>
  <c r="BK22" i="1"/>
  <c r="BL5" i="1"/>
  <c r="BL22" i="1"/>
  <c r="BM5" i="1"/>
  <c r="BM22" i="1"/>
  <c r="BJ6" i="1"/>
  <c r="BJ25" i="1"/>
  <c r="BK6" i="1"/>
  <c r="BK25" i="1"/>
  <c r="BL6" i="1"/>
  <c r="BL25" i="1"/>
  <c r="BM6" i="1"/>
  <c r="BM25" i="1"/>
  <c r="BJ7" i="1"/>
  <c r="BJ28" i="1"/>
  <c r="BK7" i="1"/>
  <c r="BK28" i="1"/>
  <c r="BL7" i="1"/>
  <c r="BL28" i="1"/>
  <c r="BM7" i="1"/>
  <c r="BM28" i="1"/>
  <c r="BJ8" i="1"/>
  <c r="BJ31" i="1"/>
  <c r="BK8" i="1"/>
  <c r="BK31" i="1"/>
  <c r="BL8" i="1"/>
  <c r="BL31" i="1"/>
  <c r="BM8" i="1"/>
  <c r="BM31" i="1"/>
  <c r="BJ9" i="1"/>
  <c r="BJ34" i="1"/>
  <c r="BK9" i="1"/>
  <c r="BK34" i="1"/>
  <c r="BL9" i="1"/>
  <c r="BL34" i="1"/>
  <c r="BM9" i="1"/>
  <c r="BM34" i="1"/>
  <c r="BJ10" i="1"/>
  <c r="BJ37" i="1"/>
  <c r="BK10" i="1"/>
  <c r="BK37" i="1"/>
  <c r="BL10" i="1"/>
  <c r="BL37" i="1"/>
  <c r="BM10" i="1"/>
  <c r="BM37" i="1"/>
  <c r="BJ11" i="1"/>
  <c r="BJ40" i="1"/>
  <c r="BK11" i="1"/>
  <c r="BK40" i="1"/>
  <c r="BL11" i="1"/>
  <c r="BL40" i="1"/>
  <c r="BM11" i="1"/>
  <c r="BM40" i="1"/>
  <c r="BJ12" i="1"/>
  <c r="BJ43" i="1"/>
  <c r="BK12" i="1"/>
  <c r="BK43" i="1"/>
  <c r="BL12" i="1"/>
  <c r="BL43" i="1"/>
  <c r="BM12" i="1"/>
  <c r="BM43" i="1"/>
  <c r="BJ13" i="1"/>
  <c r="BJ46" i="1"/>
  <c r="BK13" i="1"/>
  <c r="BK46" i="1"/>
  <c r="BL13" i="1"/>
  <c r="BL46" i="1"/>
  <c r="BM13" i="1"/>
  <c r="BM46" i="1"/>
  <c r="BJ14" i="1"/>
  <c r="BJ49" i="1"/>
  <c r="BK14" i="1"/>
  <c r="BK49" i="1"/>
  <c r="BL14" i="1"/>
  <c r="BL49" i="1"/>
  <c r="BM14" i="1"/>
  <c r="BM49" i="1"/>
  <c r="BI49" i="1"/>
  <c r="BI46" i="1"/>
  <c r="BI43" i="1"/>
  <c r="BI40" i="1"/>
  <c r="BI37" i="1"/>
  <c r="BI34" i="1"/>
  <c r="BI31" i="1"/>
  <c r="BI28" i="1"/>
  <c r="BI25" i="1"/>
  <c r="BI22" i="1"/>
  <c r="BI19" i="1"/>
  <c r="AR5" i="1"/>
  <c r="AR6" i="1"/>
  <c r="AR7" i="1"/>
  <c r="AR8" i="1"/>
  <c r="AR9" i="1"/>
  <c r="AR10" i="1"/>
  <c r="AR11" i="1"/>
  <c r="AR12" i="1"/>
  <c r="AR13" i="1"/>
  <c r="AR14" i="1"/>
  <c r="AR4" i="1"/>
  <c r="AC4" i="1"/>
  <c r="AD4" i="1"/>
  <c r="AE4" i="1"/>
  <c r="AC5" i="1"/>
  <c r="AD5" i="1"/>
  <c r="AE5" i="1"/>
  <c r="AC6" i="1"/>
  <c r="AD6" i="1"/>
  <c r="AE6" i="1"/>
  <c r="AC7" i="1"/>
  <c r="AD7" i="1"/>
  <c r="AE7" i="1"/>
  <c r="AC8" i="1"/>
  <c r="AD8" i="1"/>
  <c r="AE8" i="1"/>
  <c r="AC9" i="1"/>
  <c r="AD9" i="1"/>
  <c r="AE9" i="1"/>
  <c r="AC10" i="1"/>
  <c r="AD10" i="1"/>
  <c r="AE10" i="1"/>
  <c r="AC11" i="1"/>
  <c r="AD11" i="1"/>
  <c r="AE11" i="1"/>
  <c r="AC12" i="1"/>
  <c r="AD12" i="1"/>
  <c r="AE12" i="1"/>
  <c r="AC13" i="1"/>
  <c r="AD13" i="1"/>
  <c r="AE13" i="1"/>
  <c r="AC14" i="1"/>
  <c r="AD14" i="1"/>
  <c r="AE14" i="1"/>
  <c r="R5" i="1"/>
  <c r="R6" i="1"/>
  <c r="R7" i="1"/>
  <c r="R8" i="1"/>
  <c r="R9" i="1"/>
  <c r="R10" i="1"/>
  <c r="R11" i="1"/>
  <c r="R12" i="1"/>
  <c r="R13" i="1"/>
  <c r="R14" i="1"/>
  <c r="R4" i="1"/>
  <c r="Q4" i="1"/>
  <c r="Q5" i="1"/>
  <c r="Q6" i="1"/>
  <c r="Q7" i="1"/>
  <c r="Q8" i="1"/>
  <c r="Q9" i="1"/>
  <c r="Q10" i="1"/>
  <c r="Q11" i="1"/>
  <c r="Q12" i="1"/>
  <c r="Q13" i="1"/>
  <c r="Q14" i="1"/>
  <c r="AF5" i="1"/>
  <c r="AF6" i="1"/>
  <c r="AF7" i="1"/>
  <c r="AF8" i="1"/>
  <c r="AF9" i="1"/>
  <c r="AF10" i="1"/>
  <c r="AF11" i="1"/>
  <c r="AF12" i="1"/>
  <c r="AF13" i="1"/>
  <c r="AF14" i="1"/>
  <c r="AF4" i="1"/>
  <c r="AS7" i="1"/>
  <c r="AV7" i="1"/>
  <c r="AX7" i="1"/>
  <c r="AZ7" i="1"/>
  <c r="BB7" i="1"/>
  <c r="BD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BV4" i="1"/>
  <c r="BV5" i="1"/>
  <c r="BW5" i="1"/>
  <c r="BV8" i="1"/>
  <c r="BW8" i="1"/>
  <c r="BV9" i="1"/>
  <c r="BW9" i="1"/>
  <c r="BV10" i="1"/>
  <c r="BW10" i="1"/>
  <c r="BV11" i="1"/>
  <c r="BW11" i="1"/>
  <c r="BV12" i="1"/>
  <c r="BW12" i="1"/>
  <c r="BV13" i="1"/>
  <c r="BW13" i="1"/>
  <c r="BV6" i="1"/>
  <c r="BW6" i="1"/>
  <c r="BV14" i="1"/>
  <c r="BW14" i="1"/>
  <c r="BW4" i="1"/>
  <c r="AV5" i="1"/>
  <c r="AX5" i="1"/>
  <c r="AZ5" i="1"/>
  <c r="BB5" i="1"/>
  <c r="BD5" i="1"/>
  <c r="AV8" i="1"/>
  <c r="AX8" i="1"/>
  <c r="AZ8" i="1"/>
  <c r="BB8" i="1"/>
  <c r="BD8" i="1"/>
  <c r="AV9" i="1"/>
  <c r="AX9" i="1"/>
  <c r="AZ9" i="1"/>
  <c r="BB9" i="1"/>
  <c r="BD9" i="1"/>
  <c r="AV10" i="1"/>
  <c r="AX10" i="1"/>
  <c r="AZ10" i="1"/>
  <c r="BB10" i="1"/>
  <c r="BD10" i="1"/>
  <c r="AV11" i="1"/>
  <c r="AX11" i="1"/>
  <c r="AZ11" i="1"/>
  <c r="BB11" i="1"/>
  <c r="BD11" i="1"/>
  <c r="AV12" i="1"/>
  <c r="AX12" i="1"/>
  <c r="AZ12" i="1"/>
  <c r="BB12" i="1"/>
  <c r="BD12" i="1"/>
  <c r="AV13" i="1"/>
  <c r="AX13" i="1"/>
  <c r="AZ13" i="1"/>
  <c r="BB13" i="1"/>
  <c r="BD13" i="1"/>
  <c r="AV6" i="1"/>
  <c r="AX6" i="1"/>
  <c r="AZ6" i="1"/>
  <c r="BB6" i="1"/>
  <c r="BD6" i="1"/>
  <c r="AV14" i="1"/>
  <c r="AX14" i="1"/>
  <c r="AZ14" i="1"/>
  <c r="BB14" i="1"/>
  <c r="BD14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AS5" i="1"/>
  <c r="AS8" i="1"/>
  <c r="AS9" i="1"/>
  <c r="AS10" i="1"/>
  <c r="AS11" i="1"/>
  <c r="AS12" i="1"/>
  <c r="AS13" i="1"/>
  <c r="AS14" i="1"/>
  <c r="AS4" i="1"/>
  <c r="AV4" i="1"/>
  <c r="AX4" i="1"/>
  <c r="BB4" i="1"/>
  <c r="AZ4" i="1"/>
  <c r="BD4" i="1"/>
  <c r="CA4" i="1"/>
  <c r="CV4" i="1"/>
  <c r="CW4" i="1"/>
  <c r="CJ4" i="1"/>
  <c r="CS4" i="1"/>
</calcChain>
</file>

<file path=xl/comments1.xml><?xml version="1.0" encoding="utf-8"?>
<comments xmlns="http://schemas.openxmlformats.org/spreadsheetml/2006/main">
  <authors>
    <author>rvogt</author>
    <author/>
  </authors>
  <commentList>
    <comment ref="AU2" authorId="0">
      <text>
        <r>
          <rPr>
            <b/>
            <sz val="8"/>
            <color indexed="81"/>
            <rFont val="Tahoma"/>
            <family val="2"/>
          </rPr>
          <t>rvogt:</t>
        </r>
        <r>
          <rPr>
            <sz val="8"/>
            <color indexed="81"/>
            <rFont val="Tahoma"/>
            <family val="2"/>
          </rPr>
          <t xml:space="preserve">
Should be between 1,5 (in soil) and 2,42 (in air)</t>
        </r>
      </text>
    </comment>
    <comment ref="E3" authorId="1">
      <text>
        <r>
          <rPr>
            <b/>
            <sz val="9"/>
            <color indexed="8"/>
            <rFont val="Arial"/>
            <family val="2"/>
          </rPr>
          <t xml:space="preserve">Christian Wilhelm Mohr:
</t>
        </r>
        <r>
          <rPr>
            <sz val="9"/>
            <color indexed="8"/>
            <rFont val="Arial"/>
            <family val="2"/>
          </rPr>
          <t>Write date time in the form mm/dd/yyyy hh:mm:ss</t>
        </r>
      </text>
    </comment>
  </commentList>
</comments>
</file>

<file path=xl/comments2.xml><?xml version="1.0" encoding="utf-8"?>
<comments xmlns="http://schemas.openxmlformats.org/spreadsheetml/2006/main">
  <authors>
    <author>Rolf David Vogt</author>
  </authors>
  <commentList>
    <comment ref="Q11" authorId="0">
      <text>
        <r>
          <rPr>
            <b/>
            <sz val="9"/>
            <color indexed="81"/>
            <rFont val="Tahoma"/>
            <family val="2"/>
          </rPr>
          <t>Rolf David Vogt:</t>
        </r>
        <r>
          <rPr>
            <sz val="9"/>
            <color indexed="81"/>
            <rFont val="Tahoma"/>
            <family val="2"/>
          </rPr>
          <t xml:space="preserve">
-0.12</t>
        </r>
      </text>
    </comment>
  </commentList>
</comments>
</file>

<file path=xl/connections.xml><?xml version="1.0" encoding="utf-8"?>
<connections xmlns="http://schemas.openxmlformats.org/spreadsheetml/2006/main">
  <connection id="1" name="Module 19 H2012.csv" type="6" refreshedVersion="0" background="1" saveData="1">
    <textPr fileType="mac" sourceFile="MAC_WD_HDD:Users:CWM:Documents:UiO:Modules:Module 19:Fall 2012:Module 19 H2012.csv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<sst xmlns="http://schemas.openxmlformats.org/spreadsheetml/2006/main" count="298" uniqueCount="159">
  <si>
    <t>River</t>
  </si>
  <si>
    <t>Al</t>
  </si>
  <si>
    <t>Fe</t>
  </si>
  <si>
    <t>Bikarbonat likevekten</t>
  </si>
  <si>
    <t>Oliver</t>
  </si>
  <si>
    <t xml:space="preserve">Oliver </t>
  </si>
  <si>
    <t>-log pCO2</t>
  </si>
  <si>
    <t>CO2</t>
  </si>
  <si>
    <t>Kh</t>
  </si>
  <si>
    <t>[H2CO3*]</t>
  </si>
  <si>
    <t>K1</t>
  </si>
  <si>
    <t>[HCO3-]</t>
  </si>
  <si>
    <t>K2</t>
  </si>
  <si>
    <t>[CO3 2-]</t>
  </si>
  <si>
    <t>eq DIC</t>
  </si>
  <si>
    <t>Org. charge</t>
  </si>
  <si>
    <t>at pH 4.5</t>
  </si>
  <si>
    <t>M</t>
  </si>
  <si>
    <t>uM</t>
  </si>
  <si>
    <t>ueq/L</t>
  </si>
  <si>
    <t>IC</t>
  </si>
  <si>
    <t>Filtered water</t>
  </si>
  <si>
    <t>Lake</t>
  </si>
  <si>
    <t>PO43-</t>
  </si>
  <si>
    <t>f Ali</t>
  </si>
  <si>
    <t>mol/cm^3</t>
  </si>
  <si>
    <t>S/cm</t>
  </si>
  <si>
    <r>
      <t>m</t>
    </r>
    <r>
      <rPr>
        <b/>
        <i/>
        <sz val="10"/>
        <rFont val="Arial"/>
        <family val="2"/>
      </rPr>
      <t xml:space="preserve">S 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-1</t>
    </r>
  </si>
  <si>
    <t>DOC</t>
  </si>
  <si>
    <t>DOC</t>
    <phoneticPr fontId="18" type="noConversion"/>
  </si>
  <si>
    <t>mg C/L</t>
  </si>
  <si>
    <t>UV</t>
  </si>
  <si>
    <t>Filt-tot</t>
  </si>
  <si>
    <t>DOM-P+PO4</t>
  </si>
  <si>
    <t>Free PO4</t>
  </si>
  <si>
    <t>Temp.</t>
  </si>
  <si>
    <r>
      <t>OD</t>
    </r>
    <r>
      <rPr>
        <b/>
        <vertAlign val="subscript"/>
        <sz val="9"/>
        <rFont val="Arial"/>
        <family val="2"/>
      </rPr>
      <t>254nm</t>
    </r>
  </si>
  <si>
    <r>
      <t>OD</t>
    </r>
    <r>
      <rPr>
        <b/>
        <vertAlign val="subscript"/>
        <sz val="9"/>
        <rFont val="Arial"/>
        <family val="2"/>
      </rPr>
      <t>400nm</t>
    </r>
  </si>
  <si>
    <r>
      <t>Ca</t>
    </r>
    <r>
      <rPr>
        <b/>
        <vertAlign val="superscript"/>
        <sz val="10"/>
        <rFont val="Arial"/>
        <family val="2"/>
      </rPr>
      <t>2+</t>
    </r>
  </si>
  <si>
    <r>
      <t>Mg</t>
    </r>
    <r>
      <rPr>
        <b/>
        <vertAlign val="superscript"/>
        <sz val="10"/>
        <rFont val="Arial"/>
        <family val="2"/>
      </rPr>
      <t>2+</t>
    </r>
  </si>
  <si>
    <r>
      <t>Na</t>
    </r>
    <r>
      <rPr>
        <b/>
        <vertAlign val="superscript"/>
        <sz val="10"/>
        <rFont val="Arial"/>
        <family val="2"/>
      </rPr>
      <t>+</t>
    </r>
  </si>
  <si>
    <r>
      <t>K</t>
    </r>
    <r>
      <rPr>
        <b/>
        <vertAlign val="superscript"/>
        <sz val="10"/>
        <rFont val="Arial"/>
        <family val="2"/>
      </rPr>
      <t>+</t>
    </r>
  </si>
  <si>
    <r>
      <t>Cl</t>
    </r>
    <r>
      <rPr>
        <b/>
        <vertAlign val="superscript"/>
        <sz val="10"/>
        <rFont val="Arial"/>
        <family val="2"/>
      </rPr>
      <t>-</t>
    </r>
  </si>
  <si>
    <t>{SO4 2-}</t>
  </si>
  <si>
    <t>{Cl-}</t>
  </si>
  <si>
    <t>{NO3 -}</t>
  </si>
  <si>
    <t>{HCO3 -}</t>
  </si>
  <si>
    <t>cond. H+</t>
  </si>
  <si>
    <t>cond. Ca2+</t>
  </si>
  <si>
    <t>cond. Mg2+</t>
  </si>
  <si>
    <t>cond. Na+</t>
  </si>
  <si>
    <t>Cond. Deviation</t>
  </si>
  <si>
    <t>ºC</t>
  </si>
  <si>
    <r>
      <t>Abs cm</t>
    </r>
    <r>
      <rPr>
        <b/>
        <vertAlign val="superscript"/>
        <sz val="10"/>
        <rFont val="Arial"/>
        <family val="2"/>
      </rPr>
      <t>-1</t>
    </r>
  </si>
  <si>
    <r>
      <t>mg L</t>
    </r>
    <r>
      <rPr>
        <b/>
        <vertAlign val="superscript"/>
        <sz val="10"/>
        <rFont val="Arial"/>
        <family val="2"/>
      </rPr>
      <t>-1</t>
    </r>
  </si>
  <si>
    <t>%</t>
  </si>
  <si>
    <t>Monovalent</t>
  </si>
  <si>
    <t>Divalent</t>
  </si>
  <si>
    <t xml:space="preserve">I </t>
  </si>
  <si>
    <r>
      <t>µg P L</t>
    </r>
    <r>
      <rPr>
        <b/>
        <vertAlign val="superscript"/>
        <sz val="10"/>
        <rFont val="Arial"/>
        <family val="2"/>
      </rPr>
      <t>-1</t>
    </r>
  </si>
  <si>
    <t>Colour</t>
  </si>
  <si>
    <t>pH corr.</t>
  </si>
  <si>
    <t>Data quality</t>
  </si>
  <si>
    <t>Log</t>
  </si>
  <si>
    <t xml:space="preserve">Plot </t>
  </si>
  <si>
    <t>Type</t>
  </si>
  <si>
    <t>Date/time</t>
  </si>
  <si>
    <t>Volume</t>
  </si>
  <si>
    <t>Alkalinity</t>
  </si>
  <si>
    <t>Sample</t>
  </si>
  <si>
    <t>Sampling</t>
  </si>
  <si>
    <t>If pH&gt;5.5</t>
  </si>
  <si>
    <t>Tot-F</t>
  </si>
  <si>
    <t>Number</t>
  </si>
  <si>
    <t>Letter</t>
  </si>
  <si>
    <t>dd.mm.yy hh:mm</t>
  </si>
  <si>
    <t>mL</t>
  </si>
  <si>
    <t xml:space="preserve">  pH</t>
  </si>
  <si>
    <r>
      <t>µeq L</t>
    </r>
    <r>
      <rPr>
        <b/>
        <vertAlign val="superscript"/>
        <sz val="10"/>
        <rFont val="Arial"/>
        <family val="2"/>
      </rPr>
      <t>-1</t>
    </r>
  </si>
  <si>
    <t>µM</t>
  </si>
  <si>
    <t>Ionic streangth</t>
  </si>
  <si>
    <t>f</t>
  </si>
  <si>
    <t>cond. K+</t>
  </si>
  <si>
    <t>cond. SO4 2-</t>
  </si>
  <si>
    <t>cond. Cl-</t>
  </si>
  <si>
    <t>cond. NO3 -</t>
  </si>
  <si>
    <t>cond.HCO3-</t>
  </si>
  <si>
    <t>Tot. cond.</t>
  </si>
  <si>
    <t>Measured</t>
  </si>
  <si>
    <t>Difference</t>
  </si>
  <si>
    <t>{H+}</t>
  </si>
  <si>
    <t>{Ca2+}</t>
  </si>
  <si>
    <t>{Mg2+}</t>
  </si>
  <si>
    <t>{Na+}</t>
  </si>
  <si>
    <t>{K+}</t>
  </si>
  <si>
    <t>H+</t>
  </si>
  <si>
    <t>IB</t>
  </si>
  <si>
    <r>
      <t>SO</t>
    </r>
    <r>
      <rPr>
        <b/>
        <vertAlign val="subscript"/>
        <sz val="10"/>
        <rFont val="Arial"/>
        <family val="2"/>
      </rPr>
      <t>4</t>
    </r>
    <r>
      <rPr>
        <b/>
        <vertAlign val="superscript"/>
        <sz val="10"/>
        <rFont val="Arial"/>
        <family val="2"/>
      </rPr>
      <t>2-</t>
    </r>
  </si>
  <si>
    <r>
      <t>NO</t>
    </r>
    <r>
      <rPr>
        <b/>
        <vertAlign val="subscript"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-</t>
    </r>
  </si>
  <si>
    <r>
      <t>mg SO4 L</t>
    </r>
    <r>
      <rPr>
        <b/>
        <vertAlign val="superscript"/>
        <sz val="10"/>
        <rFont val="Arial"/>
        <family val="2"/>
      </rPr>
      <t>-1</t>
    </r>
  </si>
  <si>
    <r>
      <t>mg NO3 L</t>
    </r>
    <r>
      <rPr>
        <b/>
        <vertAlign val="superscript"/>
        <sz val="10"/>
        <rFont val="Arial"/>
        <family val="2"/>
      </rPr>
      <t>-1</t>
    </r>
  </si>
  <si>
    <r>
      <t>Cond</t>
    </r>
    <r>
      <rPr>
        <b/>
        <vertAlign val="subscript"/>
        <sz val="11"/>
        <rFont val="Calibri"/>
        <family val="2"/>
        <scheme val="minor"/>
      </rPr>
      <t>25C</t>
    </r>
  </si>
  <si>
    <r>
      <t>µS.cm</t>
    </r>
    <r>
      <rPr>
        <b/>
        <vertAlign val="superscript"/>
        <sz val="11"/>
        <rFont val="Calibri"/>
        <family val="2"/>
        <scheme val="minor"/>
      </rPr>
      <t>-1</t>
    </r>
  </si>
  <si>
    <t>Akerselva</t>
  </si>
  <si>
    <t>Årungen</t>
  </si>
  <si>
    <t>Gjersjøen</t>
  </si>
  <si>
    <t>Kolbotntjernet</t>
  </si>
  <si>
    <t>Sværsvann</t>
  </si>
  <si>
    <t>Østensjøvann</t>
  </si>
  <si>
    <t>Lutvann</t>
  </si>
  <si>
    <t>Maridalsvannet</t>
  </si>
  <si>
    <t>Nesøytjernet</t>
  </si>
  <si>
    <r>
      <t>Br</t>
    </r>
    <r>
      <rPr>
        <b/>
        <vertAlign val="superscript"/>
        <sz val="10"/>
        <rFont val="Arial"/>
        <family val="2"/>
      </rPr>
      <t>-</t>
    </r>
  </si>
  <si>
    <t>DOP</t>
  </si>
  <si>
    <t>Mn</t>
  </si>
  <si>
    <t>ICP-OES</t>
  </si>
  <si>
    <r>
      <t>µg L</t>
    </r>
    <r>
      <rPr>
        <b/>
        <vertAlign val="superscript"/>
        <sz val="10"/>
        <rFont val="Arial"/>
        <family val="2"/>
      </rPr>
      <t>-1</t>
    </r>
  </si>
  <si>
    <t>ICP-MS Total Dissolved Trace Metals</t>
  </si>
  <si>
    <t>Total 206Pb</t>
  </si>
  <si>
    <t>Total 207Pb</t>
  </si>
  <si>
    <t>Total 208Pb</t>
  </si>
  <si>
    <t>Total 206Pb/207Pb ratio</t>
  </si>
  <si>
    <t>Natural ratio = 1.090</t>
  </si>
  <si>
    <t>ICP-MS Total trace metals</t>
  </si>
  <si>
    <r>
      <t>µmol L</t>
    </r>
    <r>
      <rPr>
        <b/>
        <vertAlign val="superscript"/>
        <sz val="11"/>
        <rFont val="Arial"/>
        <family val="2"/>
      </rPr>
      <t>-1</t>
    </r>
  </si>
  <si>
    <t>Solbergvann</t>
  </si>
  <si>
    <t>24.09.14 14:15</t>
  </si>
  <si>
    <t>Puttjern</t>
  </si>
  <si>
    <t>Stream</t>
  </si>
  <si>
    <t>22.09.14 17:00</t>
  </si>
  <si>
    <t>24.09.14 12:34</t>
  </si>
  <si>
    <t>24.09.14 13:08</t>
  </si>
  <si>
    <t>24.09.14 11:39</t>
  </si>
  <si>
    <t>24.09.14 12:00</t>
  </si>
  <si>
    <t>24.09.14 12:17</t>
  </si>
  <si>
    <t>24.09.14 10:49</t>
  </si>
  <si>
    <t>24.09.14 14:50</t>
  </si>
  <si>
    <t>23.09.14 17:00</t>
  </si>
  <si>
    <t>Luttjern</t>
  </si>
  <si>
    <t>22.09.14 15:30</t>
  </si>
  <si>
    <r>
      <t>OD</t>
    </r>
    <r>
      <rPr>
        <b/>
        <vertAlign val="subscript"/>
        <sz val="9"/>
        <rFont val="Arial"/>
        <family val="2"/>
      </rPr>
      <t>600nm</t>
    </r>
  </si>
  <si>
    <t>µg L-1</t>
  </si>
  <si>
    <t>Raw</t>
  </si>
  <si>
    <t>Tot-P</t>
  </si>
  <si>
    <t>Particulate matter</t>
  </si>
  <si>
    <t>mg/L</t>
  </si>
  <si>
    <t>sUVa</t>
  </si>
  <si>
    <t>SAR</t>
  </si>
  <si>
    <t>PP</t>
  </si>
  <si>
    <t>Org</t>
  </si>
  <si>
    <t>HCO3-</t>
  </si>
  <si>
    <t>HCO3</t>
  </si>
  <si>
    <t>Ca2+</t>
  </si>
  <si>
    <t>Mg2+</t>
  </si>
  <si>
    <t>Na+</t>
  </si>
  <si>
    <t>K+</t>
  </si>
  <si>
    <t>SO42-</t>
  </si>
  <si>
    <t>NO3-</t>
  </si>
  <si>
    <t>Cl-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</si>
</sst>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dd\.mm\.yy\ hh:mm"/>
    <numFmt numFmtId="168" formatCode="0.0E+00"/>
    <numFmt numFmtId="170" formatCode="_ * #,##0.000_ ;_ * \-#,##0.000_ ;_ * &quot;-&quot;??_ ;_ @_ 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1"/>
      <name val="Calibri"/>
      <family val="2"/>
      <scheme val="minor"/>
    </font>
    <font>
      <u/>
      <sz val="10"/>
      <color theme="11"/>
      <name val="Arial"/>
      <family val="2"/>
    </font>
    <font>
      <b/>
      <sz val="11"/>
      <name val="Calibri"/>
      <family val="2"/>
      <scheme val="minor"/>
    </font>
    <font>
      <b/>
      <vertAlign val="superscript"/>
      <sz val="11"/>
      <name val="Arial"/>
      <family val="2"/>
    </font>
    <font>
      <sz val="11"/>
      <name val="Arial"/>
      <family val="2"/>
    </font>
    <font>
      <b/>
      <vertAlign val="sub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32">
    <xf numFmtId="0" fontId="0" fillId="0" borderId="0"/>
    <xf numFmtId="0" fontId="31" fillId="0" borderId="0"/>
    <xf numFmtId="0" fontId="33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>
      <alignment vertical="top" wrapText="1"/>
      <protection locked="0"/>
    </xf>
    <xf numFmtId="0" fontId="4" fillId="0" borderId="0">
      <alignment vertical="top" wrapText="1"/>
      <protection locked="0"/>
    </xf>
    <xf numFmtId="9" fontId="6" fillId="0" borderId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76">
    <xf numFmtId="0" fontId="0" fillId="0" borderId="0" xfId="0"/>
    <xf numFmtId="164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 applyProtection="1">
      <alignment horizontal="center"/>
    </xf>
    <xf numFmtId="165" fontId="7" fillId="0" borderId="0" xfId="0" applyNumberFormat="1" applyFont="1" applyFill="1" applyAlignment="1" applyProtection="1">
      <alignment horizont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 applyProtection="1">
      <alignment horizontal="center"/>
    </xf>
    <xf numFmtId="2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0" fillId="0" borderId="0" xfId="0" applyNumberFormat="1" applyFill="1" applyAlignment="1" applyProtection="1">
      <alignment horizontal="center"/>
    </xf>
    <xf numFmtId="0" fontId="7" fillId="0" borderId="0" xfId="0" applyFont="1" applyFill="1"/>
    <xf numFmtId="165" fontId="11" fillId="0" borderId="0" xfId="0" applyNumberFormat="1" applyFont="1" applyFill="1" applyAlignment="1" applyProtection="1">
      <alignment horizontal="center"/>
    </xf>
    <xf numFmtId="165" fontId="7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left"/>
    </xf>
    <xf numFmtId="165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0" fillId="2" borderId="1" xfId="0" applyNumberFormat="1" applyFill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1" fontId="8" fillId="2" borderId="1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4" fontId="22" fillId="0" borderId="0" xfId="0" applyNumberFormat="1" applyFont="1" applyFill="1" applyBorder="1" applyAlignment="1" applyProtection="1">
      <alignment horizontal="center"/>
    </xf>
    <xf numFmtId="164" fontId="23" fillId="0" borderId="0" xfId="0" applyNumberFormat="1" applyFont="1" applyFill="1" applyBorder="1" applyAlignment="1" applyProtection="1">
      <alignment horizontal="center"/>
    </xf>
    <xf numFmtId="1" fontId="0" fillId="0" borderId="3" xfId="0" applyNumberFormat="1" applyFill="1" applyBorder="1" applyAlignment="1">
      <alignment horizontal="center"/>
    </xf>
    <xf numFmtId="2" fontId="0" fillId="0" borderId="0" xfId="0" applyNumberFormat="1"/>
    <xf numFmtId="2" fontId="6" fillId="0" borderId="0" xfId="0" applyNumberFormat="1" applyFont="1" applyFill="1" applyBorder="1" applyAlignment="1" applyProtection="1">
      <alignment horizontal="center"/>
    </xf>
    <xf numFmtId="2" fontId="19" fillId="0" borderId="0" xfId="0" applyNumberFormat="1" applyFont="1" applyFill="1" applyAlignment="1" applyProtection="1">
      <alignment horizontal="center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left"/>
    </xf>
    <xf numFmtId="15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5" fontId="0" fillId="0" borderId="3" xfId="0" applyNumberFormat="1" applyFill="1" applyBorder="1" applyAlignment="1">
      <alignment horizontal="center"/>
    </xf>
    <xf numFmtId="0" fontId="0" fillId="0" borderId="3" xfId="0" applyBorder="1"/>
    <xf numFmtId="165" fontId="24" fillId="0" borderId="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3" borderId="1" xfId="0" applyNumberFormat="1" applyFill="1" applyBorder="1" applyAlignment="1" applyProtection="1">
      <alignment horizontal="center"/>
    </xf>
    <xf numFmtId="168" fontId="0" fillId="3" borderId="1" xfId="0" applyNumberFormat="1" applyFill="1" applyBorder="1" applyAlignment="1" applyProtection="1">
      <alignment horizontal="center"/>
    </xf>
    <xf numFmtId="0" fontId="7" fillId="0" borderId="0" xfId="0" applyFont="1" applyFill="1" applyBorder="1" applyAlignment="1"/>
    <xf numFmtId="168" fontId="7" fillId="0" borderId="0" xfId="0" applyNumberFormat="1" applyFont="1" applyFill="1" applyBorder="1" applyAlignment="1"/>
    <xf numFmtId="2" fontId="27" fillId="3" borderId="0" xfId="0" applyNumberFormat="1" applyFont="1" applyFill="1" applyBorder="1" applyAlignment="1">
      <alignment horizontal="center" vertical="center"/>
    </xf>
    <xf numFmtId="168" fontId="0" fillId="3" borderId="0" xfId="0" applyNumberFormat="1" applyFill="1" applyBorder="1" applyAlignment="1">
      <alignment horizontal="center" vertical="center"/>
    </xf>
    <xf numFmtId="164" fontId="7" fillId="0" borderId="0" xfId="0" applyNumberFormat="1" applyFont="1" applyFill="1" applyBorder="1" applyAlignment="1"/>
    <xf numFmtId="164" fontId="25" fillId="0" borderId="0" xfId="0" applyNumberFormat="1" applyFont="1" applyFill="1" applyBorder="1" applyAlignment="1">
      <alignment horizontal="center"/>
    </xf>
    <xf numFmtId="164" fontId="25" fillId="0" borderId="0" xfId="0" applyNumberFormat="1" applyFont="1" applyBorder="1"/>
    <xf numFmtId="164" fontId="26" fillId="0" borderId="0" xfId="0" applyNumberFormat="1" applyFont="1" applyBorder="1"/>
    <xf numFmtId="164" fontId="0" fillId="3" borderId="0" xfId="0" applyNumberFormat="1" applyFill="1" applyBorder="1" applyAlignment="1">
      <alignment horizontal="center" vertical="center"/>
    </xf>
    <xf numFmtId="164" fontId="26" fillId="3" borderId="0" xfId="0" applyNumberFormat="1" applyFont="1" applyFill="1" applyBorder="1" applyAlignment="1">
      <alignment horizontal="center"/>
    </xf>
    <xf numFmtId="1" fontId="0" fillId="0" borderId="0" xfId="0" applyNumberFormat="1" applyFill="1"/>
    <xf numFmtId="164" fontId="28" fillId="0" borderId="0" xfId="0" applyNumberFormat="1" applyFont="1" applyFill="1" applyBorder="1" applyAlignment="1" applyProtection="1">
      <alignment horizontal="center"/>
    </xf>
    <xf numFmtId="2" fontId="29" fillId="0" borderId="0" xfId="0" applyNumberFormat="1" applyFont="1" applyBorder="1" applyAlignment="1">
      <alignment horizontal="center"/>
    </xf>
    <xf numFmtId="165" fontId="7" fillId="0" borderId="0" xfId="0" applyNumberFormat="1" applyFont="1" applyFill="1" applyAlignment="1" applyProtection="1">
      <alignment horizontal="center"/>
    </xf>
    <xf numFmtId="165" fontId="0" fillId="0" borderId="0" xfId="0" applyNumberFormat="1" applyAlignment="1">
      <alignment horizontal="center"/>
    </xf>
    <xf numFmtId="165" fontId="7" fillId="0" borderId="0" xfId="0" applyNumberFormat="1" applyFont="1" applyFill="1" applyAlignment="1" applyProtection="1">
      <alignment horizontal="center"/>
    </xf>
    <xf numFmtId="2" fontId="7" fillId="0" borderId="0" xfId="0" applyNumberFormat="1" applyFont="1" applyFill="1" applyAlignment="1" applyProtection="1">
      <alignment horizontal="center"/>
    </xf>
    <xf numFmtId="2" fontId="34" fillId="0" borderId="0" xfId="0" applyNumberFormat="1" applyFont="1" applyFill="1" applyBorder="1" applyAlignment="1" applyProtection="1">
      <alignment horizontal="center"/>
    </xf>
    <xf numFmtId="2" fontId="32" fillId="0" borderId="0" xfId="0" applyNumberFormat="1" applyFont="1" applyFill="1" applyBorder="1" applyAlignment="1" applyProtection="1">
      <alignment horizontal="center"/>
    </xf>
    <xf numFmtId="2" fontId="32" fillId="0" borderId="0" xfId="0" applyNumberFormat="1" applyFont="1" applyBorder="1" applyAlignment="1">
      <alignment horizontal="center"/>
    </xf>
    <xf numFmtId="165" fontId="30" fillId="0" borderId="0" xfId="0" applyNumberFormat="1" applyFont="1" applyAlignment="1">
      <alignment horizontal="center"/>
    </xf>
    <xf numFmtId="165" fontId="30" fillId="0" borderId="0" xfId="0" applyNumberFormat="1" applyFont="1" applyFill="1" applyAlignment="1" applyProtection="1">
      <alignment horizontal="center"/>
    </xf>
    <xf numFmtId="165" fontId="36" fillId="0" borderId="0" xfId="0" applyNumberFormat="1" applyFont="1" applyAlignment="1">
      <alignment horizontal="center"/>
    </xf>
    <xf numFmtId="164" fontId="34" fillId="0" borderId="0" xfId="0" applyNumberFormat="1" applyFont="1" applyFill="1" applyAlignment="1" applyProtection="1">
      <alignment horizontal="center"/>
    </xf>
    <xf numFmtId="164" fontId="34" fillId="0" borderId="0" xfId="0" applyNumberFormat="1" applyFont="1" applyAlignment="1">
      <alignment horizontal="center"/>
    </xf>
    <xf numFmtId="164" fontId="32" fillId="0" borderId="0" xfId="0" applyNumberFormat="1" applyFont="1" applyFill="1" applyBorder="1" applyAlignment="1" applyProtection="1">
      <alignment horizontal="center"/>
    </xf>
    <xf numFmtId="164" fontId="32" fillId="0" borderId="0" xfId="0" applyNumberFormat="1" applyFont="1" applyAlignment="1">
      <alignment horizontal="center"/>
    </xf>
    <xf numFmtId="164" fontId="30" fillId="0" borderId="0" xfId="0" applyNumberFormat="1" applyFont="1" applyFill="1" applyAlignment="1" applyProtection="1">
      <alignment horizontal="center"/>
    </xf>
    <xf numFmtId="164" fontId="30" fillId="0" borderId="0" xfId="0" applyNumberFormat="1" applyFont="1" applyAlignment="1">
      <alignment horizontal="center"/>
    </xf>
    <xf numFmtId="164" fontId="36" fillId="0" borderId="0" xfId="0" applyNumberFormat="1" applyFont="1" applyBorder="1" applyAlignment="1">
      <alignment horizontal="center"/>
    </xf>
    <xf numFmtId="164" fontId="36" fillId="0" borderId="0" xfId="0" applyNumberFormat="1" applyFont="1" applyAlignment="1">
      <alignment horizontal="center"/>
    </xf>
    <xf numFmtId="0" fontId="0" fillId="0" borderId="0" xfId="0"/>
    <xf numFmtId="2" fontId="7" fillId="0" borderId="0" xfId="0" applyNumberFormat="1" applyFont="1" applyFill="1" applyAlignment="1" applyProtection="1">
      <alignment horizontal="center"/>
    </xf>
    <xf numFmtId="15" fontId="0" fillId="0" borderId="3" xfId="0" applyNumberFormat="1" applyBorder="1" applyAlignment="1">
      <alignment horizontal="center"/>
    </xf>
    <xf numFmtId="2" fontId="0" fillId="0" borderId="0" xfId="4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6" fillId="4" borderId="0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Alignment="1" applyProtection="1">
      <alignment horizontal="center"/>
    </xf>
    <xf numFmtId="2" fontId="40" fillId="0" borderId="0" xfId="0" applyNumberFormat="1" applyFont="1"/>
    <xf numFmtId="2" fontId="7" fillId="0" borderId="6" xfId="0" applyNumberFormat="1" applyFont="1" applyFill="1" applyBorder="1" applyAlignment="1" applyProtection="1">
      <alignment horizontal="center"/>
    </xf>
    <xf numFmtId="2" fontId="7" fillId="0" borderId="7" xfId="0" applyNumberFormat="1" applyFont="1" applyFill="1" applyBorder="1" applyAlignment="1" applyProtection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29" fillId="0" borderId="6" xfId="0" applyNumberFormat="1" applyFont="1" applyBorder="1" applyAlignment="1">
      <alignment horizontal="center"/>
    </xf>
    <xf numFmtId="164" fontId="7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4" fontId="7" fillId="0" borderId="7" xfId="0" applyNumberFormat="1" applyFont="1" applyBorder="1" applyAlignment="1">
      <alignment horizontal="center"/>
    </xf>
    <xf numFmtId="2" fontId="2" fillId="0" borderId="7" xfId="4" applyNumberFormat="1" applyFont="1" applyBorder="1" applyAlignment="1">
      <alignment horizontal="center" vertical="center"/>
    </xf>
    <xf numFmtId="2" fontId="29" fillId="4" borderId="7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164" fontId="28" fillId="0" borderId="6" xfId="0" applyNumberFormat="1" applyFont="1" applyFill="1" applyBorder="1" applyAlignment="1" applyProtection="1">
      <alignment horizontal="center"/>
    </xf>
    <xf numFmtId="164" fontId="23" fillId="0" borderId="6" xfId="0" applyNumberFormat="1" applyFont="1" applyFill="1" applyBorder="1" applyAlignment="1" applyProtection="1">
      <alignment horizontal="center"/>
    </xf>
    <xf numFmtId="1" fontId="0" fillId="3" borderId="0" xfId="0" applyNumberFormat="1" applyFill="1" applyBorder="1" applyAlignment="1">
      <alignment horizontal="center" vertical="center"/>
    </xf>
    <xf numFmtId="168" fontId="0" fillId="0" borderId="0" xfId="0" applyNumberFormat="1" applyFont="1" applyFill="1" applyAlignment="1" applyProtection="1">
      <alignment horizontal="left"/>
    </xf>
    <xf numFmtId="168" fontId="0" fillId="0" borderId="0" xfId="0" applyNumberFormat="1" applyFill="1" applyAlignment="1" applyProtection="1">
      <alignment horizontal="center"/>
    </xf>
    <xf numFmtId="168" fontId="0" fillId="2" borderId="1" xfId="0" applyNumberFormat="1" applyFill="1" applyBorder="1" applyAlignment="1" applyProtection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168" fontId="14" fillId="0" borderId="0" xfId="0" applyNumberFormat="1" applyFont="1" applyFill="1" applyAlignment="1" applyProtection="1">
      <alignment horizontal="center"/>
    </xf>
    <xf numFmtId="164" fontId="11" fillId="0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/>
    <xf numFmtId="2" fontId="23" fillId="0" borderId="0" xfId="0" applyNumberFormat="1" applyFont="1" applyFill="1" applyBorder="1" applyAlignment="1" applyProtection="1">
      <alignment horizontal="center"/>
    </xf>
    <xf numFmtId="2" fontId="39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1" fontId="36" fillId="0" borderId="0" xfId="0" applyNumberFormat="1" applyFont="1" applyAlignment="1">
      <alignment horizontal="center"/>
    </xf>
    <xf numFmtId="2" fontId="29" fillId="0" borderId="0" xfId="0" applyNumberFormat="1" applyFont="1" applyBorder="1" applyAlignment="1">
      <alignment horizontal="center" vertical="center"/>
    </xf>
    <xf numFmtId="165" fontId="0" fillId="0" borderId="0" xfId="0" applyNumberFormat="1"/>
    <xf numFmtId="165" fontId="7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 applyProtection="1">
      <alignment horizont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 applyProtection="1">
      <alignment horizontal="center"/>
    </xf>
    <xf numFmtId="0" fontId="0" fillId="0" borderId="3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2" fillId="0" borderId="0" xfId="4" applyNumberFormat="1" applyFont="1" applyAlignment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Border="1" applyAlignment="1">
      <alignment horizontal="center"/>
    </xf>
    <xf numFmtId="165" fontId="7" fillId="0" borderId="0" xfId="0" applyNumberFormat="1" applyFont="1" applyFill="1" applyAlignment="1" applyProtection="1">
      <alignment horizontal="center"/>
    </xf>
    <xf numFmtId="170" fontId="0" fillId="0" borderId="0" xfId="4" applyNumberFormat="1" applyFont="1"/>
    <xf numFmtId="43" fontId="0" fillId="0" borderId="0" xfId="4" applyFont="1"/>
    <xf numFmtId="164" fontId="7" fillId="0" borderId="0" xfId="0" applyNumberFormat="1" applyFont="1" applyAlignment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25" fillId="0" borderId="0" xfId="0" applyNumberFormat="1" applyFont="1" applyFill="1" applyBorder="1"/>
    <xf numFmtId="0" fontId="0" fillId="0" borderId="4" xfId="0" applyBorder="1"/>
    <xf numFmtId="0" fontId="7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/>
    </xf>
    <xf numFmtId="164" fontId="11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43" fillId="0" borderId="0" xfId="0" applyNumberFormat="1" applyFont="1"/>
    <xf numFmtId="2" fontId="43" fillId="0" borderId="0" xfId="0" applyNumberFormat="1" applyFont="1"/>
    <xf numFmtId="0" fontId="0" fillId="0" borderId="0" xfId="0" applyBorder="1"/>
    <xf numFmtId="2" fontId="7" fillId="0" borderId="7" xfId="0" applyNumberFormat="1" applyFont="1" applyFill="1" applyBorder="1" applyAlignment="1">
      <alignment horizontal="center"/>
    </xf>
    <xf numFmtId="2" fontId="29" fillId="0" borderId="7" xfId="0" applyNumberFormat="1" applyFont="1" applyFill="1" applyBorder="1" applyAlignment="1">
      <alignment horizontal="center"/>
    </xf>
    <xf numFmtId="2" fontId="40" fillId="0" borderId="7" xfId="0" applyNumberFormat="1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43" fontId="43" fillId="0" borderId="0" xfId="4" applyFont="1"/>
    <xf numFmtId="168" fontId="0" fillId="0" borderId="0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 applyProtection="1">
      <alignment horizontal="center"/>
    </xf>
    <xf numFmtId="1" fontId="9" fillId="2" borderId="1" xfId="0" applyNumberFormat="1" applyFont="1" applyFill="1" applyBorder="1" applyAlignment="1" applyProtection="1">
      <alignment horizontal="center"/>
    </xf>
    <xf numFmtId="164" fontId="0" fillId="2" borderId="1" xfId="0" applyNumberFormat="1" applyFont="1" applyFill="1" applyBorder="1" applyAlignment="1" applyProtection="1">
      <alignment horizontal="center"/>
    </xf>
    <xf numFmtId="0" fontId="0" fillId="0" borderId="0" xfId="0" applyFill="1"/>
    <xf numFmtId="1" fontId="0" fillId="0" borderId="1" xfId="0" applyNumberFormat="1" applyFill="1" applyBorder="1" applyAlignment="1" applyProtection="1">
      <alignment horizontal="center"/>
    </xf>
    <xf numFmtId="2" fontId="7" fillId="0" borderId="6" xfId="0" applyNumberFormat="1" applyFont="1" applyFill="1" applyBorder="1" applyAlignment="1" applyProtection="1">
      <alignment horizontal="center"/>
    </xf>
  </cellXfs>
  <cellStyles count="132">
    <cellStyle name="Comma" xfId="4" builtinId="3"/>
    <cellStyle name="Followed Hyperlink" xfId="2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Normal" xfId="0" builtinId="0"/>
    <cellStyle name="Normal 2" xfId="1"/>
    <cellStyle name="Normal 3" xfId="3"/>
    <cellStyle name="Normal 4" xfId="6"/>
    <cellStyle name="Normal 5" xfId="52"/>
    <cellStyle name="Normal 6" xfId="5"/>
    <cellStyle name="Normal 7" xfId="94"/>
    <cellStyle name="Percent 2" xfId="7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909459446291"/>
          <c:y val="2.6085212706167381E-2"/>
          <c:w val="0.849768136843712"/>
          <c:h val="0.8179431528027886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'All data'!$BJ$2</c:f>
              <c:strCache>
                <c:ptCount val="1"/>
                <c:pt idx="0">
                  <c:v>Ca2+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data'!$BJ$19:$BJ$50</c:f>
              <c:numCache>
                <c:formatCode>0</c:formatCode>
                <c:ptCount val="32"/>
                <c:pt idx="0">
                  <c:v>143.6952941763561</c:v>
                </c:pt>
                <c:pt idx="3">
                  <c:v>251.67722940266481</c:v>
                </c:pt>
                <c:pt idx="6">
                  <c:v>245.22930285942414</c:v>
                </c:pt>
                <c:pt idx="9">
                  <c:v>1421.3184290633264</c:v>
                </c:pt>
                <c:pt idx="12">
                  <c:v>918.02485153949783</c:v>
                </c:pt>
                <c:pt idx="15">
                  <c:v>902.83946304705808</c:v>
                </c:pt>
                <c:pt idx="18">
                  <c:v>1112.7850691152253</c:v>
                </c:pt>
                <c:pt idx="21">
                  <c:v>225.99481012026547</c:v>
                </c:pt>
                <c:pt idx="24" formatCode="0.0">
                  <c:v>95.741304456310189</c:v>
                </c:pt>
                <c:pt idx="27">
                  <c:v>1149.4086531264034</c:v>
                </c:pt>
                <c:pt idx="30">
                  <c:v>273.70327860671688</c:v>
                </c:pt>
              </c:numCache>
            </c:numRef>
          </c:val>
        </c:ser>
        <c:ser>
          <c:idx val="3"/>
          <c:order val="1"/>
          <c:tx>
            <c:strRef>
              <c:f>'All data'!$BK$2</c:f>
              <c:strCache>
                <c:ptCount val="1"/>
                <c:pt idx="0">
                  <c:v>Mg2+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data'!$BK$19:$BK$50</c:f>
              <c:numCache>
                <c:formatCode>0.0</c:formatCode>
                <c:ptCount val="32"/>
                <c:pt idx="0">
                  <c:v>53.827739387956562</c:v>
                </c:pt>
                <c:pt idx="3">
                  <c:v>82.999341888779199</c:v>
                </c:pt>
                <c:pt idx="6">
                  <c:v>74.392810134912793</c:v>
                </c:pt>
                <c:pt idx="9" formatCode="0">
                  <c:v>433.53158933859822</c:v>
                </c:pt>
                <c:pt idx="12" formatCode="0">
                  <c:v>340.93205001645276</c:v>
                </c:pt>
                <c:pt idx="15" formatCode="0">
                  <c:v>231.94389601842713</c:v>
                </c:pt>
                <c:pt idx="18" formatCode="0">
                  <c:v>251.12948338269163</c:v>
                </c:pt>
                <c:pt idx="21">
                  <c:v>63.006581112207954</c:v>
                </c:pt>
                <c:pt idx="24">
                  <c:v>25.508144126357351</c:v>
                </c:pt>
                <c:pt idx="27" formatCode="0">
                  <c:v>308.51678183613029</c:v>
                </c:pt>
                <c:pt idx="30">
                  <c:v>76.878331688055269</c:v>
                </c:pt>
              </c:numCache>
            </c:numRef>
          </c:val>
        </c:ser>
        <c:ser>
          <c:idx val="4"/>
          <c:order val="2"/>
          <c:tx>
            <c:strRef>
              <c:f>'All data'!$BL$2</c:f>
              <c:strCache>
                <c:ptCount val="1"/>
                <c:pt idx="0">
                  <c:v>Na+</c:v>
                </c:pt>
              </c:strCache>
            </c:strRef>
          </c:tx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data'!$BL$19:$BL$50</c:f>
              <c:numCache>
                <c:formatCode>0.00</c:formatCode>
                <c:ptCount val="32"/>
                <c:pt idx="0" formatCode="0.0">
                  <c:v>45.622009569377994</c:v>
                </c:pt>
                <c:pt idx="3" formatCode="0.0">
                  <c:v>67.407133536320146</c:v>
                </c:pt>
                <c:pt idx="6" formatCode="0">
                  <c:v>327.62374945628534</c:v>
                </c:pt>
                <c:pt idx="9" formatCode="0">
                  <c:v>695.06742061765988</c:v>
                </c:pt>
                <c:pt idx="12" formatCode="0">
                  <c:v>795.0369725967812</c:v>
                </c:pt>
                <c:pt idx="15" formatCode="0">
                  <c:v>793.64941278816877</c:v>
                </c:pt>
                <c:pt idx="18" formatCode="0">
                  <c:v>1099.4649847759897</c:v>
                </c:pt>
                <c:pt idx="21" formatCode="0">
                  <c:v>160.77163984341018</c:v>
                </c:pt>
                <c:pt idx="24">
                  <c:v>5.6416702914310575</c:v>
                </c:pt>
                <c:pt idx="27" formatCode="0">
                  <c:v>565.77642453240537</c:v>
                </c:pt>
                <c:pt idx="30" formatCode="0.0">
                  <c:v>36.90561113527621</c:v>
                </c:pt>
              </c:numCache>
            </c:numRef>
          </c:val>
        </c:ser>
        <c:ser>
          <c:idx val="5"/>
          <c:order val="3"/>
          <c:tx>
            <c:strRef>
              <c:f>'All data'!$BM$2</c:f>
              <c:strCache>
                <c:ptCount val="1"/>
                <c:pt idx="0">
                  <c:v>K+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data'!$BM$19:$BM$50</c:f>
              <c:numCache>
                <c:formatCode>0.00</c:formatCode>
                <c:ptCount val="32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 formatCode="0.0">
                  <c:v>66.466165413533844</c:v>
                </c:pt>
                <c:pt idx="12" formatCode="0.0">
                  <c:v>69.06015037593987</c:v>
                </c:pt>
                <c:pt idx="15" formatCode="0.0">
                  <c:v>44.33967571991203</c:v>
                </c:pt>
                <c:pt idx="18" formatCode="0.0">
                  <c:v>70.885888189862428</c:v>
                </c:pt>
                <c:pt idx="21">
                  <c:v>0</c:v>
                </c:pt>
                <c:pt idx="24">
                  <c:v>0</c:v>
                </c:pt>
                <c:pt idx="27" formatCode="0.0">
                  <c:v>30.132729783642784</c:v>
                </c:pt>
                <c:pt idx="30">
                  <c:v>0</c:v>
                </c:pt>
              </c:numCache>
            </c:numRef>
          </c:val>
        </c:ser>
        <c:ser>
          <c:idx val="1"/>
          <c:order val="4"/>
          <c:tx>
            <c:strRef>
              <c:f>'All data'!$BI$2</c:f>
              <c:strCache>
                <c:ptCount val="1"/>
                <c:pt idx="0">
                  <c:v>H+</c:v>
                </c:pt>
              </c:strCache>
            </c:strRef>
          </c:tx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data'!$BI$19:$BI$50</c:f>
              <c:numCache>
                <c:formatCode>0.00</c:formatCode>
                <c:ptCount val="32"/>
                <c:pt idx="0">
                  <c:v>0.25118864315095779</c:v>
                </c:pt>
                <c:pt idx="3">
                  <c:v>0.41686938347033492</c:v>
                </c:pt>
                <c:pt idx="6">
                  <c:v>0.40738027780411229</c:v>
                </c:pt>
                <c:pt idx="9">
                  <c:v>7.7624711662868925E-2</c:v>
                </c:pt>
                <c:pt idx="12">
                  <c:v>3.4673685045253172E-2</c:v>
                </c:pt>
                <c:pt idx="15">
                  <c:v>3.0199517204020188E-2</c:v>
                </c:pt>
                <c:pt idx="18">
                  <c:v>4.0738027780411253E-2</c:v>
                </c:pt>
                <c:pt idx="21">
                  <c:v>0.1659586907437556</c:v>
                </c:pt>
                <c:pt idx="24">
                  <c:v>7.5857757502918149E-2</c:v>
                </c:pt>
                <c:pt idx="27">
                  <c:v>5.3703179637025322E-3</c:v>
                </c:pt>
                <c:pt idx="30">
                  <c:v>0.31622776601683733</c:v>
                </c:pt>
              </c:numCache>
            </c:numRef>
          </c:val>
        </c:ser>
        <c:ser>
          <c:idx val="11"/>
          <c:order val="5"/>
          <c:tx>
            <c:strRef>
              <c:f>'All data'!$BS$2</c:f>
              <c:strCache>
                <c:ptCount val="1"/>
                <c:pt idx="0">
                  <c:v>HCO3-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data'!$BS$19:$BS$50</c:f>
              <c:numCache>
                <c:formatCode>0</c:formatCode>
                <c:ptCount val="32"/>
                <c:pt idx="1">
                  <c:v>281.96105631181916</c:v>
                </c:pt>
                <c:pt idx="4">
                  <c:v>221.61650706456305</c:v>
                </c:pt>
                <c:pt idx="7">
                  <c:v>954.26209784308276</c:v>
                </c:pt>
                <c:pt idx="10">
                  <c:v>1936.6410026827191</c:v>
                </c:pt>
                <c:pt idx="13">
                  <c:v>944.15128036642182</c:v>
                </c:pt>
                <c:pt idx="16">
                  <c:v>825.2366292308202</c:v>
                </c:pt>
                <c:pt idx="19">
                  <c:v>1155.7939535267312</c:v>
                </c:pt>
                <c:pt idx="22">
                  <c:v>225.70731474037734</c:v>
                </c:pt>
                <c:pt idx="25">
                  <c:v>95.471443350449164</c:v>
                </c:pt>
                <c:pt idx="28">
                  <c:v>1710.0053164167766</c:v>
                </c:pt>
                <c:pt idx="31">
                  <c:v>241.89445370529103</c:v>
                </c:pt>
              </c:numCache>
            </c:numRef>
          </c:val>
        </c:ser>
        <c:ser>
          <c:idx val="6"/>
          <c:order val="6"/>
          <c:tx>
            <c:strRef>
              <c:f>'All data'!$BN$2</c:f>
              <c:strCache>
                <c:ptCount val="1"/>
                <c:pt idx="0">
                  <c:v>SO42-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data'!$BN$19:$BN$50</c:f>
              <c:numCache>
                <c:formatCode>0.0</c:formatCode>
                <c:ptCount val="32"/>
                <c:pt idx="1">
                  <c:v>49.480821892211871</c:v>
                </c:pt>
                <c:pt idx="4" formatCode="0">
                  <c:v>100.10462210786241</c:v>
                </c:pt>
                <c:pt idx="7">
                  <c:v>55.60187943892879</c:v>
                </c:pt>
                <c:pt idx="10" formatCode="0">
                  <c:v>369.33701827198752</c:v>
                </c:pt>
                <c:pt idx="13" formatCode="0">
                  <c:v>332.18261227149611</c:v>
                </c:pt>
                <c:pt idx="16" formatCode="0">
                  <c:v>408.94083080047886</c:v>
                </c:pt>
                <c:pt idx="19" formatCode="0">
                  <c:v>491.10600886402187</c:v>
                </c:pt>
                <c:pt idx="22">
                  <c:v>95.274303450470228</c:v>
                </c:pt>
                <c:pt idx="25">
                  <c:v>42.559375099538507</c:v>
                </c:pt>
                <c:pt idx="28" formatCode="0">
                  <c:v>168.43158996374322</c:v>
                </c:pt>
                <c:pt idx="31" formatCode="0">
                  <c:v>185.48294851499756</c:v>
                </c:pt>
              </c:numCache>
            </c:numRef>
          </c:val>
        </c:ser>
        <c:ser>
          <c:idx val="7"/>
          <c:order val="7"/>
          <c:tx>
            <c:strRef>
              <c:f>'All data'!$BO$2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data'!$BO$19:$BO$50</c:f>
              <c:numCache>
                <c:formatCode>0.0</c:formatCode>
                <c:ptCount val="32"/>
                <c:pt idx="1">
                  <c:v>5.0734023127262207</c:v>
                </c:pt>
                <c:pt idx="4">
                  <c:v>6.7958665448952162</c:v>
                </c:pt>
                <c:pt idx="7">
                  <c:v>5.3178850800380157</c:v>
                </c:pt>
                <c:pt idx="10">
                  <c:v>19.673549839476511</c:v>
                </c:pt>
                <c:pt idx="13">
                  <c:v>92.552969827987596</c:v>
                </c:pt>
                <c:pt idx="16">
                  <c:v>54.388255320920337</c:v>
                </c:pt>
                <c:pt idx="19">
                  <c:v>6.389267685656896</c:v>
                </c:pt>
                <c:pt idx="22">
                  <c:v>10.48281447410357</c:v>
                </c:pt>
                <c:pt idx="25">
                  <c:v>8.4695265974434051</c:v>
                </c:pt>
                <c:pt idx="28">
                  <c:v>3.2254578940662864</c:v>
                </c:pt>
                <c:pt idx="31">
                  <c:v>5.9007640202410734</c:v>
                </c:pt>
              </c:numCache>
            </c:numRef>
          </c:val>
        </c:ser>
        <c:ser>
          <c:idx val="8"/>
          <c:order val="8"/>
          <c:tx>
            <c:strRef>
              <c:f>'All data'!$BP$2</c:f>
              <c:strCache>
                <c:ptCount val="1"/>
                <c:pt idx="0">
                  <c:v>Cl-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data'!$BP$19:$BP$50</c:f>
              <c:numCache>
                <c:formatCode>0.0</c:formatCode>
                <c:ptCount val="32"/>
                <c:pt idx="1">
                  <c:v>89.938726490472519</c:v>
                </c:pt>
                <c:pt idx="4">
                  <c:v>95.127004575057242</c:v>
                </c:pt>
                <c:pt idx="7" formatCode="0">
                  <c:v>374.0111189074662</c:v>
                </c:pt>
                <c:pt idx="10" formatCode="0">
                  <c:v>586.70436538593685</c:v>
                </c:pt>
                <c:pt idx="13" formatCode="0">
                  <c:v>927.96246277068872</c:v>
                </c:pt>
                <c:pt idx="16" formatCode="0">
                  <c:v>945.32152930440861</c:v>
                </c:pt>
                <c:pt idx="19" formatCode="0">
                  <c:v>1247.732492612043</c:v>
                </c:pt>
                <c:pt idx="22" formatCode="0">
                  <c:v>217.88788894383362</c:v>
                </c:pt>
                <c:pt idx="25">
                  <c:v>51.583306216027864</c:v>
                </c:pt>
                <c:pt idx="28" formatCode="0">
                  <c:v>407.19831325594726</c:v>
                </c:pt>
                <c:pt idx="31">
                  <c:v>81.512896621800195</c:v>
                </c:pt>
              </c:numCache>
            </c:numRef>
          </c:val>
        </c:ser>
        <c:ser>
          <c:idx val="9"/>
          <c:order val="9"/>
          <c:tx>
            <c:strRef>
              <c:f>'All data'!$BQ$2</c:f>
              <c:strCache>
                <c:ptCount val="1"/>
                <c:pt idx="0">
                  <c:v>Tot-F</c:v>
                </c:pt>
              </c:strCache>
            </c:strRef>
          </c:tx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data'!$BQ$19:$BQ$47</c:f>
              <c:numCache>
                <c:formatCode>0.0</c:formatCode>
                <c:ptCount val="29"/>
                <c:pt idx="1">
                  <c:v>4.0823011140951619</c:v>
                </c:pt>
                <c:pt idx="4">
                  <c:v>5.3480554396150985</c:v>
                </c:pt>
                <c:pt idx="7">
                  <c:v>4.4519013771469833</c:v>
                </c:pt>
                <c:pt idx="10">
                  <c:v>9.3757830691368831</c:v>
                </c:pt>
                <c:pt idx="13">
                  <c:v>15.674176592924082</c:v>
                </c:pt>
                <c:pt idx="16">
                  <c:v>9.4477363342568239</c:v>
                </c:pt>
                <c:pt idx="19">
                  <c:v>8.2723373944355405</c:v>
                </c:pt>
                <c:pt idx="22">
                  <c:v>5.2346243789050417</c:v>
                </c:pt>
                <c:pt idx="25">
                  <c:v>4.3166603957510459</c:v>
                </c:pt>
                <c:pt idx="28">
                  <c:v>4.268951194250679</c:v>
                </c:pt>
              </c:numCache>
            </c:numRef>
          </c:val>
        </c:ser>
        <c:ser>
          <c:idx val="10"/>
          <c:order val="10"/>
          <c:tx>
            <c:strRef>
              <c:f>'All data'!$BR$2</c:f>
              <c:strCache>
                <c:ptCount val="1"/>
                <c:pt idx="0">
                  <c:v>PO43-</c:v>
                </c:pt>
              </c:strCache>
            </c:strRef>
          </c:tx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data'!$BR$19:$BR$47</c:f>
              <c:numCache>
                <c:formatCode>0.0</c:formatCode>
                <c:ptCount val="29"/>
                <c:pt idx="1">
                  <c:v>0.48433968356474005</c:v>
                </c:pt>
                <c:pt idx="4">
                  <c:v>0.48433968356474005</c:v>
                </c:pt>
                <c:pt idx="7">
                  <c:v>0.38747174685179209</c:v>
                </c:pt>
                <c:pt idx="10">
                  <c:v>4.2621892153697125</c:v>
                </c:pt>
                <c:pt idx="13">
                  <c:v>0.58120762027768813</c:v>
                </c:pt>
                <c:pt idx="16">
                  <c:v>0.38747174685179209</c:v>
                </c:pt>
                <c:pt idx="19">
                  <c:v>0.29060381013884407</c:v>
                </c:pt>
                <c:pt idx="22">
                  <c:v>0.29060381013884407</c:v>
                </c:pt>
                <c:pt idx="25">
                  <c:v>0.19373587342589604</c:v>
                </c:pt>
                <c:pt idx="28">
                  <c:v>0.19373587342589604</c:v>
                </c:pt>
              </c:numCache>
            </c:numRef>
          </c:val>
        </c:ser>
        <c:ser>
          <c:idx val="0"/>
          <c:order val="11"/>
          <c:tx>
            <c:strRef>
              <c:f>'All data'!$BE$2</c:f>
              <c:strCache>
                <c:ptCount val="1"/>
                <c:pt idx="0">
                  <c:v>Org. charge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data'!$BT$19:$BT$50</c:f>
              <c:numCache>
                <c:formatCode>0.0</c:formatCode>
                <c:ptCount val="32"/>
                <c:pt idx="1">
                  <c:v>54.052380658592611</c:v>
                </c:pt>
                <c:pt idx="4">
                  <c:v>38.40159615439196</c:v>
                </c:pt>
                <c:pt idx="7">
                  <c:v>25.794857515168601</c:v>
                </c:pt>
                <c:pt idx="10">
                  <c:v>23.285876006369893</c:v>
                </c:pt>
                <c:pt idx="13">
                  <c:v>25.251822554650722</c:v>
                </c:pt>
                <c:pt idx="16">
                  <c:v>26.098982669698081</c:v>
                </c:pt>
                <c:pt idx="19">
                  <c:v>21.775407188738708</c:v>
                </c:pt>
                <c:pt idx="22">
                  <c:v>11.956656484975232</c:v>
                </c:pt>
                <c:pt idx="25">
                  <c:v>13.206561722033289</c:v>
                </c:pt>
                <c:pt idx="28">
                  <c:v>33.764839890150554</c:v>
                </c:pt>
                <c:pt idx="31">
                  <c:v>3.9480040487591719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03337984"/>
        <c:axId val="103339520"/>
      </c:barChart>
      <c:catAx>
        <c:axId val="10333798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03339520"/>
        <c:crosses val="autoZero"/>
        <c:auto val="1"/>
        <c:lblAlgn val="ctr"/>
        <c:lblOffset val="100"/>
        <c:noMultiLvlLbl val="0"/>
      </c:catAx>
      <c:valAx>
        <c:axId val="1033395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ueq/L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3337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191277687904004"/>
          <c:y val="1.2584919112937746E-2"/>
          <c:w val="0.73654974875582557"/>
          <c:h val="9.142330371747860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68848817605553"/>
          <c:y val="5.1400554097404488E-2"/>
          <c:w val="0.78629438100099514"/>
          <c:h val="0.7344480898221055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8.2338801399825023E-2"/>
                  <c:y val="0.42545129775444734"/>
                </c:manualLayout>
              </c:layout>
              <c:numFmt formatCode="General" sourceLinked="0"/>
            </c:trendlineLbl>
          </c:trendline>
          <c:xVal>
            <c:numRef>
              <c:f>'All data'!$Y$4:$Y$14</c:f>
              <c:numCache>
                <c:formatCode>0.00</c:formatCode>
                <c:ptCount val="11"/>
                <c:pt idx="0">
                  <c:v>2.5004799999999998E-3</c:v>
                </c:pt>
                <c:pt idx="1">
                  <c:v>9.0395699999999995E-2</c:v>
                </c:pt>
                <c:pt idx="2">
                  <c:v>0</c:v>
                </c:pt>
                <c:pt idx="3">
                  <c:v>2.9373699999999999E-2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'All data'!$X$4:$X$14</c:f>
              <c:numCache>
                <c:formatCode>0.00</c:formatCode>
                <c:ptCount val="11"/>
                <c:pt idx="0">
                  <c:v>0.13939699999999999</c:v>
                </c:pt>
                <c:pt idx="1">
                  <c:v>0.59635400000000005</c:v>
                </c:pt>
                <c:pt idx="2">
                  <c:v>0.13872200000000001</c:v>
                </c:pt>
                <c:pt idx="3">
                  <c:v>0.194129</c:v>
                </c:pt>
                <c:pt idx="4">
                  <c:v>1.54012E-2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630272"/>
        <c:axId val="118648832"/>
      </c:scatterChart>
      <c:valAx>
        <c:axId val="1186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Mn (ug/L)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18648832"/>
        <c:crosses val="autoZero"/>
        <c:crossBetween val="midCat"/>
      </c:valAx>
      <c:valAx>
        <c:axId val="1186488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Fe (ug/L)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8630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Aluminium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9697749156689651"/>
          <c:y val="0.16251166520851559"/>
          <c:w val="0.73600902335503005"/>
          <c:h val="0.5301483668708076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'All data'!$C$4:$C$14</c:f>
              <c:strCache>
                <c:ptCount val="11"/>
                <c:pt idx="0">
                  <c:v>Solbergvann</c:v>
                </c:pt>
                <c:pt idx="1">
                  <c:v>Puttjern</c:v>
                </c:pt>
                <c:pt idx="2">
                  <c:v>Sværsvann</c:v>
                </c:pt>
                <c:pt idx="3">
                  <c:v>Østensjøvann</c:v>
                </c:pt>
                <c:pt idx="4">
                  <c:v>Årungen</c:v>
                </c:pt>
                <c:pt idx="5">
                  <c:v>Gjersjøen</c:v>
                </c:pt>
                <c:pt idx="6">
                  <c:v>Kolbotntjernet</c:v>
                </c:pt>
                <c:pt idx="7">
                  <c:v>Akerselva</c:v>
                </c:pt>
                <c:pt idx="8">
                  <c:v>Maridalsvannet</c:v>
                </c:pt>
                <c:pt idx="9">
                  <c:v>Nesøytjernet</c:v>
                </c:pt>
                <c:pt idx="10">
                  <c:v>Lutvann</c:v>
                </c:pt>
              </c:strCache>
            </c:strRef>
          </c:cat>
          <c:val>
            <c:numRef>
              <c:f>'All data'!$AG$20:$AG$30</c:f>
              <c:numCache>
                <c:formatCode>0.00</c:formatCode>
                <c:ptCount val="11"/>
              </c:numCache>
            </c:numRef>
          </c:val>
        </c:ser>
        <c:ser>
          <c:idx val="0"/>
          <c:order val="1"/>
          <c:invertIfNegative val="0"/>
          <c:cat>
            <c:strRef>
              <c:f>'All data'!$C$4:$C$14</c:f>
              <c:strCache>
                <c:ptCount val="11"/>
                <c:pt idx="0">
                  <c:v>Solbergvann</c:v>
                </c:pt>
                <c:pt idx="1">
                  <c:v>Puttjern</c:v>
                </c:pt>
                <c:pt idx="2">
                  <c:v>Sværsvann</c:v>
                </c:pt>
                <c:pt idx="3">
                  <c:v>Østensjøvann</c:v>
                </c:pt>
                <c:pt idx="4">
                  <c:v>Årungen</c:v>
                </c:pt>
                <c:pt idx="5">
                  <c:v>Gjersjøen</c:v>
                </c:pt>
                <c:pt idx="6">
                  <c:v>Kolbotntjernet</c:v>
                </c:pt>
                <c:pt idx="7">
                  <c:v>Akerselva</c:v>
                </c:pt>
                <c:pt idx="8">
                  <c:v>Maridalsvannet</c:v>
                </c:pt>
                <c:pt idx="9">
                  <c:v>Nesøytjernet</c:v>
                </c:pt>
                <c:pt idx="10">
                  <c:v>Lutvann</c:v>
                </c:pt>
              </c:strCache>
            </c:strRef>
          </c:cat>
          <c:val>
            <c:numRef>
              <c:f>'All data'!$AD$4:$AD$14</c:f>
              <c:numCache>
                <c:formatCode>0.00</c:formatCode>
                <c:ptCount val="11"/>
                <c:pt idx="0">
                  <c:v>8.5482579688658262E-3</c:v>
                </c:pt>
                <c:pt idx="1">
                  <c:v>4.2145663454410676E-3</c:v>
                </c:pt>
                <c:pt idx="2">
                  <c:v>5.1890289103039293E-4</c:v>
                </c:pt>
                <c:pt idx="3">
                  <c:v>3.4027242401779101E-4</c:v>
                </c:pt>
                <c:pt idx="4">
                  <c:v>3.0173647146034097E-4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3.0306597479614532E-4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81600"/>
        <c:axId val="118685056"/>
      </c:barChart>
      <c:catAx>
        <c:axId val="118681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8685056"/>
        <c:crosses val="autoZero"/>
        <c:auto val="1"/>
        <c:lblAlgn val="ctr"/>
        <c:lblOffset val="100"/>
        <c:noMultiLvlLbl val="0"/>
      </c:catAx>
      <c:valAx>
        <c:axId val="1186850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µM Al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18681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Iron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7471707803151337"/>
          <c:y val="0.14399314668999708"/>
          <c:w val="0.75826943689041315"/>
          <c:h val="0.5486668853893262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'All data'!$C$4:$C$14</c:f>
              <c:strCache>
                <c:ptCount val="11"/>
                <c:pt idx="0">
                  <c:v>Solbergvann</c:v>
                </c:pt>
                <c:pt idx="1">
                  <c:v>Puttjern</c:v>
                </c:pt>
                <c:pt idx="2">
                  <c:v>Sværsvann</c:v>
                </c:pt>
                <c:pt idx="3">
                  <c:v>Østensjøvann</c:v>
                </c:pt>
                <c:pt idx="4">
                  <c:v>Årungen</c:v>
                </c:pt>
                <c:pt idx="5">
                  <c:v>Gjersjøen</c:v>
                </c:pt>
                <c:pt idx="6">
                  <c:v>Kolbotntjernet</c:v>
                </c:pt>
                <c:pt idx="7">
                  <c:v>Akerselva</c:v>
                </c:pt>
                <c:pt idx="8">
                  <c:v>Maridalsvannet</c:v>
                </c:pt>
                <c:pt idx="9">
                  <c:v>Nesøytjernet</c:v>
                </c:pt>
                <c:pt idx="10">
                  <c:v>Lutvann</c:v>
                </c:pt>
              </c:strCache>
            </c:strRef>
          </c:cat>
          <c:val>
            <c:numRef>
              <c:f>'All data'!$AH$20:$AH$30</c:f>
              <c:numCache>
                <c:formatCode>0.00</c:formatCode>
                <c:ptCount val="11"/>
              </c:numCache>
            </c:numRef>
          </c:val>
        </c:ser>
        <c:ser>
          <c:idx val="0"/>
          <c:order val="1"/>
          <c:invertIfNegative val="0"/>
          <c:cat>
            <c:strRef>
              <c:f>'All data'!$C$4:$C$14</c:f>
              <c:strCache>
                <c:ptCount val="11"/>
                <c:pt idx="0">
                  <c:v>Solbergvann</c:v>
                </c:pt>
                <c:pt idx="1">
                  <c:v>Puttjern</c:v>
                </c:pt>
                <c:pt idx="2">
                  <c:v>Sværsvann</c:v>
                </c:pt>
                <c:pt idx="3">
                  <c:v>Østensjøvann</c:v>
                </c:pt>
                <c:pt idx="4">
                  <c:v>Årungen</c:v>
                </c:pt>
                <c:pt idx="5">
                  <c:v>Gjersjøen</c:v>
                </c:pt>
                <c:pt idx="6">
                  <c:v>Kolbotntjernet</c:v>
                </c:pt>
                <c:pt idx="7">
                  <c:v>Akerselva</c:v>
                </c:pt>
                <c:pt idx="8">
                  <c:v>Maridalsvannet</c:v>
                </c:pt>
                <c:pt idx="9">
                  <c:v>Nesøytjernet</c:v>
                </c:pt>
                <c:pt idx="10">
                  <c:v>Lutvann</c:v>
                </c:pt>
              </c:strCache>
            </c:strRef>
          </c:cat>
          <c:val>
            <c:numRef>
              <c:f>'All data'!$AE$4:$AE$14</c:f>
              <c:numCache>
                <c:formatCode>0.00</c:formatCode>
                <c:ptCount val="11"/>
                <c:pt idx="0">
                  <c:v>2.4961411048437638E-3</c:v>
                </c:pt>
                <c:pt idx="1">
                  <c:v>1.0678735786552065E-2</c:v>
                </c:pt>
                <c:pt idx="2">
                  <c:v>2.4840540782523055E-3</c:v>
                </c:pt>
                <c:pt idx="3">
                  <c:v>3.4762109409974037E-3</c:v>
                </c:pt>
                <c:pt idx="4">
                  <c:v>2.7578476139314173E-4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13280"/>
        <c:axId val="118923264"/>
      </c:barChart>
      <c:catAx>
        <c:axId val="11891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923264"/>
        <c:crosses val="autoZero"/>
        <c:auto val="1"/>
        <c:lblAlgn val="ctr"/>
        <c:lblOffset val="100"/>
        <c:noMultiLvlLbl val="0"/>
      </c:catAx>
      <c:valAx>
        <c:axId val="1189232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µM Fe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1891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Manganese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523921618805317"/>
          <c:y val="0.14399314668999708"/>
          <c:w val="0.77774729873387338"/>
          <c:h val="0.5486668853893262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'All data'!$C$4:$C$14</c:f>
              <c:strCache>
                <c:ptCount val="11"/>
                <c:pt idx="0">
                  <c:v>Solbergvann</c:v>
                </c:pt>
                <c:pt idx="1">
                  <c:v>Puttjern</c:v>
                </c:pt>
                <c:pt idx="2">
                  <c:v>Sværsvann</c:v>
                </c:pt>
                <c:pt idx="3">
                  <c:v>Østensjøvann</c:v>
                </c:pt>
                <c:pt idx="4">
                  <c:v>Årungen</c:v>
                </c:pt>
                <c:pt idx="5">
                  <c:v>Gjersjøen</c:v>
                </c:pt>
                <c:pt idx="6">
                  <c:v>Kolbotntjernet</c:v>
                </c:pt>
                <c:pt idx="7">
                  <c:v>Akerselva</c:v>
                </c:pt>
                <c:pt idx="8">
                  <c:v>Maridalsvannet</c:v>
                </c:pt>
                <c:pt idx="9">
                  <c:v>Nesøytjernet</c:v>
                </c:pt>
                <c:pt idx="10">
                  <c:v>Lutvann</c:v>
                </c:pt>
              </c:strCache>
            </c:strRef>
          </c:cat>
          <c:val>
            <c:numRef>
              <c:f>'All data'!$AI$20:$AI$30</c:f>
              <c:numCache>
                <c:formatCode>0.00</c:formatCode>
                <c:ptCount val="11"/>
              </c:numCache>
            </c:numRef>
          </c:val>
        </c:ser>
        <c:ser>
          <c:idx val="0"/>
          <c:order val="1"/>
          <c:invertIfNegative val="0"/>
          <c:cat>
            <c:strRef>
              <c:f>'All data'!$C$4:$C$14</c:f>
              <c:strCache>
                <c:ptCount val="11"/>
                <c:pt idx="0">
                  <c:v>Solbergvann</c:v>
                </c:pt>
                <c:pt idx="1">
                  <c:v>Puttjern</c:v>
                </c:pt>
                <c:pt idx="2">
                  <c:v>Sværsvann</c:v>
                </c:pt>
                <c:pt idx="3">
                  <c:v>Østensjøvann</c:v>
                </c:pt>
                <c:pt idx="4">
                  <c:v>Årungen</c:v>
                </c:pt>
                <c:pt idx="5">
                  <c:v>Gjersjøen</c:v>
                </c:pt>
                <c:pt idx="6">
                  <c:v>Kolbotntjernet</c:v>
                </c:pt>
                <c:pt idx="7">
                  <c:v>Akerselva</c:v>
                </c:pt>
                <c:pt idx="8">
                  <c:v>Maridalsvannet</c:v>
                </c:pt>
                <c:pt idx="9">
                  <c:v>Nesøytjernet</c:v>
                </c:pt>
                <c:pt idx="10">
                  <c:v>Lutvann</c:v>
                </c:pt>
              </c:strCache>
            </c:strRef>
          </c:cat>
          <c:val>
            <c:numRef>
              <c:f>'All data'!$AF$4:$AF$14</c:f>
              <c:numCache>
                <c:formatCode>0.00</c:formatCode>
                <c:ptCount val="11"/>
                <c:pt idx="0">
                  <c:v>4.5514580072081248E-5</c:v>
                </c:pt>
                <c:pt idx="1">
                  <c:v>1.6454130110306162E-3</c:v>
                </c:pt>
                <c:pt idx="2">
                  <c:v>0</c:v>
                </c:pt>
                <c:pt idx="3">
                  <c:v>5.3466999162692487E-4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13760"/>
        <c:axId val="119015296"/>
      </c:barChart>
      <c:catAx>
        <c:axId val="119013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9015296"/>
        <c:crosses val="autoZero"/>
        <c:auto val="1"/>
        <c:lblAlgn val="ctr"/>
        <c:lblOffset val="100"/>
        <c:noMultiLvlLbl val="0"/>
      </c:catAx>
      <c:valAx>
        <c:axId val="1190152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µM Mn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1901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8.1748282962088373E-2"/>
                  <c:y val="0.38582494896471276"/>
                </c:manualLayout>
              </c:layout>
              <c:numFmt formatCode="General" sourceLinked="0"/>
            </c:trendlineLbl>
          </c:trendline>
          <c:xVal>
            <c:numRef>
              <c:f>'All data'!$BN$4:$BN$14</c:f>
              <c:numCache>
                <c:formatCode>0.0</c:formatCode>
                <c:ptCount val="11"/>
                <c:pt idx="0">
                  <c:v>49.480821892211871</c:v>
                </c:pt>
                <c:pt idx="1">
                  <c:v>100.10462210786241</c:v>
                </c:pt>
                <c:pt idx="2">
                  <c:v>55.60187943892879</c:v>
                </c:pt>
                <c:pt idx="3" formatCode="0">
                  <c:v>369.33701827198752</c:v>
                </c:pt>
                <c:pt idx="4" formatCode="0">
                  <c:v>332.18261227149611</c:v>
                </c:pt>
                <c:pt idx="5" formatCode="0">
                  <c:v>408.94083080047886</c:v>
                </c:pt>
                <c:pt idx="6" formatCode="0">
                  <c:v>491.10600886402187</c:v>
                </c:pt>
                <c:pt idx="7">
                  <c:v>95.274303450470228</c:v>
                </c:pt>
                <c:pt idx="8" formatCode="0">
                  <c:v>42.559375099538507</c:v>
                </c:pt>
                <c:pt idx="9" formatCode="0">
                  <c:v>168.43158996374322</c:v>
                </c:pt>
                <c:pt idx="10" formatCode="0">
                  <c:v>185.48294851499756</c:v>
                </c:pt>
              </c:numCache>
            </c:numRef>
          </c:xVal>
          <c:yVal>
            <c:numRef>
              <c:f>'All data'!$BP$4:$BP$14</c:f>
              <c:numCache>
                <c:formatCode>0</c:formatCode>
                <c:ptCount val="11"/>
                <c:pt idx="0" formatCode="0.0">
                  <c:v>89.938726490472519</c:v>
                </c:pt>
                <c:pt idx="1">
                  <c:v>95.127004575057242</c:v>
                </c:pt>
                <c:pt idx="2" formatCode="0.0">
                  <c:v>374.0111189074662</c:v>
                </c:pt>
                <c:pt idx="3">
                  <c:v>586.70436538593685</c:v>
                </c:pt>
                <c:pt idx="4">
                  <c:v>927.96246277068872</c:v>
                </c:pt>
                <c:pt idx="5">
                  <c:v>945.32152930440861</c:v>
                </c:pt>
                <c:pt idx="6">
                  <c:v>1247.732492612043</c:v>
                </c:pt>
                <c:pt idx="7">
                  <c:v>217.88788894383362</c:v>
                </c:pt>
                <c:pt idx="8">
                  <c:v>51.583306216027864</c:v>
                </c:pt>
                <c:pt idx="9" formatCode="0.0">
                  <c:v>407.19831325594726</c:v>
                </c:pt>
                <c:pt idx="10">
                  <c:v>81.512896621800195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70976"/>
        <c:axId val="121472896"/>
      </c:scatterChart>
      <c:valAx>
        <c:axId val="12147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SO4 (ueq/L)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21472896"/>
        <c:crosses val="autoZero"/>
        <c:crossBetween val="midCat"/>
      </c:valAx>
      <c:valAx>
        <c:axId val="1214728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Cl (ueq/L)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214709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'All data'!$AQ$2</c:f>
              <c:strCache>
                <c:ptCount val="1"/>
                <c:pt idx="0">
                  <c:v>Free PO4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'All data'!$C$4:$C$14</c:f>
              <c:strCache>
                <c:ptCount val="11"/>
                <c:pt idx="0">
                  <c:v>Solbergvann</c:v>
                </c:pt>
                <c:pt idx="1">
                  <c:v>Puttjern</c:v>
                </c:pt>
                <c:pt idx="2">
                  <c:v>Sværsvann</c:v>
                </c:pt>
                <c:pt idx="3">
                  <c:v>Østensjøvann</c:v>
                </c:pt>
                <c:pt idx="4">
                  <c:v>Årungen</c:v>
                </c:pt>
                <c:pt idx="5">
                  <c:v>Gjersjøen</c:v>
                </c:pt>
                <c:pt idx="6">
                  <c:v>Kolbotntjernet</c:v>
                </c:pt>
                <c:pt idx="7">
                  <c:v>Akerselva</c:v>
                </c:pt>
                <c:pt idx="8">
                  <c:v>Maridalsvannet</c:v>
                </c:pt>
                <c:pt idx="9">
                  <c:v>Nesøytjernet</c:v>
                </c:pt>
                <c:pt idx="10">
                  <c:v>Lutvann</c:v>
                </c:pt>
              </c:strCache>
            </c:strRef>
          </c:cat>
          <c:val>
            <c:numRef>
              <c:f>'All data'!$AQ$4:$AQ$14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44</c:v>
                </c:pt>
                <c:pt idx="4">
                  <c:v>6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'All data'!$AS$2</c:f>
              <c:strCache>
                <c:ptCount val="1"/>
                <c:pt idx="0">
                  <c:v>DOP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'All data'!$C$4:$C$14</c:f>
              <c:strCache>
                <c:ptCount val="11"/>
                <c:pt idx="0">
                  <c:v>Solbergvann</c:v>
                </c:pt>
                <c:pt idx="1">
                  <c:v>Puttjern</c:v>
                </c:pt>
                <c:pt idx="2">
                  <c:v>Sværsvann</c:v>
                </c:pt>
                <c:pt idx="3">
                  <c:v>Østensjøvann</c:v>
                </c:pt>
                <c:pt idx="4">
                  <c:v>Årungen</c:v>
                </c:pt>
                <c:pt idx="5">
                  <c:v>Gjersjøen</c:v>
                </c:pt>
                <c:pt idx="6">
                  <c:v>Kolbotntjernet</c:v>
                </c:pt>
                <c:pt idx="7">
                  <c:v>Akerselva</c:v>
                </c:pt>
                <c:pt idx="8">
                  <c:v>Maridalsvannet</c:v>
                </c:pt>
                <c:pt idx="9">
                  <c:v>Nesøytjernet</c:v>
                </c:pt>
                <c:pt idx="10">
                  <c:v>Lutvann</c:v>
                </c:pt>
              </c:strCache>
            </c:strRef>
          </c:cat>
          <c:val>
            <c:numRef>
              <c:f>'All data'!$AS$4:$AS$14</c:f>
              <c:numCache>
                <c:formatCode>0.0</c:formatCode>
                <c:ptCount val="11"/>
                <c:pt idx="0">
                  <c:v>35</c:v>
                </c:pt>
                <c:pt idx="1">
                  <c:v>31</c:v>
                </c:pt>
                <c:pt idx="2">
                  <c:v>0</c:v>
                </c:pt>
                <c:pt idx="3">
                  <c:v>10</c:v>
                </c:pt>
                <c:pt idx="4">
                  <c:v>38</c:v>
                </c:pt>
                <c:pt idx="5">
                  <c:v>29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41</c:v>
                </c:pt>
                <c:pt idx="10">
                  <c:v>29</c:v>
                </c:pt>
              </c:numCache>
            </c:numRef>
          </c:val>
        </c:ser>
        <c:ser>
          <c:idx val="2"/>
          <c:order val="2"/>
          <c:tx>
            <c:strRef>
              <c:f>'All data'!$AR$2</c:f>
              <c:strCache>
                <c:ptCount val="1"/>
                <c:pt idx="0">
                  <c:v>PP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val>
            <c:numRef>
              <c:f>'All data'!$AR$4:$AR$14</c:f>
              <c:numCache>
                <c:formatCode>0.0</c:formatCode>
                <c:ptCount val="11"/>
                <c:pt idx="0">
                  <c:v>8</c:v>
                </c:pt>
                <c:pt idx="1">
                  <c:v>12</c:v>
                </c:pt>
                <c:pt idx="2">
                  <c:v>13</c:v>
                </c:pt>
                <c:pt idx="3">
                  <c:v>92</c:v>
                </c:pt>
                <c:pt idx="4">
                  <c:v>15</c:v>
                </c:pt>
                <c:pt idx="5">
                  <c:v>10</c:v>
                </c:pt>
                <c:pt idx="6">
                  <c:v>13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481472"/>
        <c:axId val="121511936"/>
      </c:barChart>
      <c:catAx>
        <c:axId val="121481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21511936"/>
        <c:crosses val="autoZero"/>
        <c:auto val="1"/>
        <c:lblAlgn val="ctr"/>
        <c:lblOffset val="100"/>
        <c:noMultiLvlLbl val="0"/>
      </c:catAx>
      <c:valAx>
        <c:axId val="1215119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ug P/L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21481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'All data'!$BW$4:$BW$14</c:f>
              <c:numCache>
                <c:formatCode>0</c:formatCode>
                <c:ptCount val="11"/>
                <c:pt idx="0">
                  <c:v>-27.820243192076017</c:v>
                </c:pt>
                <c:pt idx="1">
                  <c:v>-3.2423759537988324</c:v>
                </c:pt>
                <c:pt idx="2">
                  <c:v>-36.557005286084227</c:v>
                </c:pt>
                <c:pt idx="3">
                  <c:v>-5.5847575060996224</c:v>
                </c:pt>
                <c:pt idx="4">
                  <c:v>-4.2833121501832379</c:v>
                </c:pt>
                <c:pt idx="5">
                  <c:v>-6.4251913419888176</c:v>
                </c:pt>
                <c:pt idx="6">
                  <c:v>-6.8935713867313853</c:v>
                </c:pt>
                <c:pt idx="7">
                  <c:v>-10.443554211068975</c:v>
                </c:pt>
                <c:pt idx="8">
                  <c:v>-22.947820086681563</c:v>
                </c:pt>
                <c:pt idx="9">
                  <c:v>-5.5089580754600451</c:v>
                </c:pt>
                <c:pt idx="10">
                  <c:v>-14.486299368194574</c:v>
                </c:pt>
              </c:numCache>
            </c:numRef>
          </c:xVal>
          <c:yVal>
            <c:numRef>
              <c:f>'All data'!$BI$4:$BI$14</c:f>
              <c:numCache>
                <c:formatCode>0.00</c:formatCode>
                <c:ptCount val="11"/>
                <c:pt idx="0">
                  <c:v>0.25118864315095779</c:v>
                </c:pt>
                <c:pt idx="1">
                  <c:v>0.41686938347033492</c:v>
                </c:pt>
                <c:pt idx="2">
                  <c:v>0.40738027780411229</c:v>
                </c:pt>
                <c:pt idx="3">
                  <c:v>7.7624711662868925E-2</c:v>
                </c:pt>
                <c:pt idx="4">
                  <c:v>3.4673685045253172E-2</c:v>
                </c:pt>
                <c:pt idx="5">
                  <c:v>3.0199517204020188E-2</c:v>
                </c:pt>
                <c:pt idx="6">
                  <c:v>4.0738027780411253E-2</c:v>
                </c:pt>
                <c:pt idx="7">
                  <c:v>0.1659586907437556</c:v>
                </c:pt>
                <c:pt idx="8">
                  <c:v>7.5857757502918149E-2</c:v>
                </c:pt>
                <c:pt idx="9">
                  <c:v>5.3703179637025322E-3</c:v>
                </c:pt>
                <c:pt idx="10">
                  <c:v>0.31622776601683733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523584"/>
        <c:axId val="121538048"/>
      </c:scatterChart>
      <c:valAx>
        <c:axId val="12152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IB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21538048"/>
        <c:crosses val="autoZero"/>
        <c:crossBetween val="midCat"/>
      </c:valAx>
      <c:valAx>
        <c:axId val="1215380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H+ (ueq/L)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21523584"/>
        <c:crossesAt val="-4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28018372703411"/>
          <c:y val="5.1400554097404488E-2"/>
          <c:w val="0.80208092738407699"/>
          <c:h val="0.81873067949839606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xVal>
            <c:numRef>
              <c:f>'All data'!$BI$4:$BI$14</c:f>
              <c:numCache>
                <c:formatCode>0.00</c:formatCode>
                <c:ptCount val="11"/>
                <c:pt idx="0">
                  <c:v>0.25118864315095779</c:v>
                </c:pt>
                <c:pt idx="1">
                  <c:v>0.41686938347033492</c:v>
                </c:pt>
                <c:pt idx="2">
                  <c:v>0.40738027780411229</c:v>
                </c:pt>
                <c:pt idx="3">
                  <c:v>7.7624711662868925E-2</c:v>
                </c:pt>
                <c:pt idx="4">
                  <c:v>3.4673685045253172E-2</c:v>
                </c:pt>
                <c:pt idx="5">
                  <c:v>3.0199517204020188E-2</c:v>
                </c:pt>
                <c:pt idx="6">
                  <c:v>4.0738027780411253E-2</c:v>
                </c:pt>
                <c:pt idx="7">
                  <c:v>0.1659586907437556</c:v>
                </c:pt>
                <c:pt idx="8">
                  <c:v>7.5857757502918149E-2</c:v>
                </c:pt>
                <c:pt idx="9">
                  <c:v>5.3703179637025322E-3</c:v>
                </c:pt>
                <c:pt idx="10">
                  <c:v>0.31622776601683733</c:v>
                </c:pt>
              </c:numCache>
            </c:numRef>
          </c:xVal>
          <c:yVal>
            <c:numRef>
              <c:f>'All data'!$CW$4:$CW$14</c:f>
              <c:numCache>
                <c:formatCode>0</c:formatCode>
                <c:ptCount val="11"/>
                <c:pt idx="0">
                  <c:v>8.3649917242650549</c:v>
                </c:pt>
                <c:pt idx="1">
                  <c:v>5.8096011548915252</c:v>
                </c:pt>
                <c:pt idx="2">
                  <c:v>3.6503391004191545</c:v>
                </c:pt>
                <c:pt idx="3">
                  <c:v>20.472747592264291</c:v>
                </c:pt>
                <c:pt idx="4">
                  <c:v>5.238840985869202</c:v>
                </c:pt>
                <c:pt idx="5">
                  <c:v>1.7707292958132621</c:v>
                </c:pt>
                <c:pt idx="6">
                  <c:v>6.7825961744191048</c:v>
                </c:pt>
                <c:pt idx="7">
                  <c:v>8.8019205827835609</c:v>
                </c:pt>
                <c:pt idx="8">
                  <c:v>22.789464279548017</c:v>
                </c:pt>
                <c:pt idx="9">
                  <c:v>27.131396808109567</c:v>
                </c:pt>
                <c:pt idx="10">
                  <c:v>7.4380827661325677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566720"/>
        <c:axId val="121568256"/>
      </c:scatterChart>
      <c:valAx>
        <c:axId val="12156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H+ (ueq/L)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21568256"/>
        <c:crosses val="autoZero"/>
        <c:crossBetween val="midCat"/>
      </c:valAx>
      <c:valAx>
        <c:axId val="1215682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Cond. Deviation %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21566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sUVa</a:t>
            </a:r>
          </a:p>
        </c:rich>
      </c:tx>
      <c:layout>
        <c:manualLayout>
          <c:xMode val="edge"/>
          <c:yMode val="edge"/>
          <c:x val="0.52575419933251821"/>
          <c:y val="1.3888888888888888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strRef>
              <c:f>'All data'!$C$4:$C$14</c:f>
              <c:strCache>
                <c:ptCount val="11"/>
                <c:pt idx="0">
                  <c:v>Solbergvann</c:v>
                </c:pt>
                <c:pt idx="1">
                  <c:v>Puttjern</c:v>
                </c:pt>
                <c:pt idx="2">
                  <c:v>Sværsvann</c:v>
                </c:pt>
                <c:pt idx="3">
                  <c:v>Østensjøvann</c:v>
                </c:pt>
                <c:pt idx="4">
                  <c:v>Årungen</c:v>
                </c:pt>
                <c:pt idx="5">
                  <c:v>Gjersjøen</c:v>
                </c:pt>
                <c:pt idx="6">
                  <c:v>Kolbotntjernet</c:v>
                </c:pt>
                <c:pt idx="7">
                  <c:v>Akerselva</c:v>
                </c:pt>
                <c:pt idx="8">
                  <c:v>Maridalsvannet</c:v>
                </c:pt>
                <c:pt idx="9">
                  <c:v>Nesøytjernet</c:v>
                </c:pt>
                <c:pt idx="10">
                  <c:v>Lutvann</c:v>
                </c:pt>
              </c:strCache>
            </c:strRef>
          </c:cat>
          <c:val>
            <c:numRef>
              <c:f>'All data'!$Q$4:$Q$14</c:f>
              <c:numCache>
                <c:formatCode>0.00</c:formatCode>
                <c:ptCount val="11"/>
                <c:pt idx="0">
                  <c:v>5.4794520547945209E-2</c:v>
                </c:pt>
                <c:pt idx="1">
                  <c:v>6.3306615948919995E-2</c:v>
                </c:pt>
                <c:pt idx="2">
                  <c:v>5.1406597854685286E-2</c:v>
                </c:pt>
                <c:pt idx="3">
                  <c:v>4.9142327306444133E-2</c:v>
                </c:pt>
                <c:pt idx="4">
                  <c:v>4.1576906505816455E-2</c:v>
                </c:pt>
                <c:pt idx="5">
                  <c:v>4.0058418527018566E-2</c:v>
                </c:pt>
                <c:pt idx="6">
                  <c:v>3.2934131736526949E-2</c:v>
                </c:pt>
                <c:pt idx="7">
                  <c:v>5.2655064703257468E-2</c:v>
                </c:pt>
                <c:pt idx="8">
                  <c:v>5.1103843008994274E-2</c:v>
                </c:pt>
                <c:pt idx="9">
                  <c:v>2.5337014779925289E-2</c:v>
                </c:pt>
                <c:pt idx="10">
                  <c:v>3.5961640916355883E-2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759360"/>
        <c:axId val="152394752"/>
      </c:barChart>
      <c:catAx>
        <c:axId val="159759360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152394752"/>
        <c:crosses val="autoZero"/>
        <c:auto val="1"/>
        <c:lblAlgn val="ctr"/>
        <c:lblOffset val="100"/>
        <c:noMultiLvlLbl val="0"/>
      </c:catAx>
      <c:valAx>
        <c:axId val="1523947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sUVa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5975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SAR</a:t>
            </a:r>
          </a:p>
        </c:rich>
      </c:tx>
      <c:layout>
        <c:manualLayout>
          <c:xMode val="edge"/>
          <c:yMode val="edge"/>
          <c:x val="0.52575419933251821"/>
          <c:y val="1.38888888888888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116428391707143"/>
          <c:y val="4.6770924467774859E-2"/>
          <c:w val="0.81842921357509946"/>
          <c:h val="0.64125947798191896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strRef>
              <c:f>'All data'!$C$4:$C$14</c:f>
              <c:strCache>
                <c:ptCount val="11"/>
                <c:pt idx="0">
                  <c:v>Solbergvann</c:v>
                </c:pt>
                <c:pt idx="1">
                  <c:v>Puttjern</c:v>
                </c:pt>
                <c:pt idx="2">
                  <c:v>Sværsvann</c:v>
                </c:pt>
                <c:pt idx="3">
                  <c:v>Østensjøvann</c:v>
                </c:pt>
                <c:pt idx="4">
                  <c:v>Årungen</c:v>
                </c:pt>
                <c:pt idx="5">
                  <c:v>Gjersjøen</c:v>
                </c:pt>
                <c:pt idx="6">
                  <c:v>Kolbotntjernet</c:v>
                </c:pt>
                <c:pt idx="7">
                  <c:v>Akerselva</c:v>
                </c:pt>
                <c:pt idx="8">
                  <c:v>Maridalsvannet</c:v>
                </c:pt>
                <c:pt idx="9">
                  <c:v>Nesøytjernet</c:v>
                </c:pt>
                <c:pt idx="10">
                  <c:v>Lutvann</c:v>
                </c:pt>
              </c:strCache>
            </c:strRef>
          </c:cat>
          <c:val>
            <c:numRef>
              <c:f>'All data'!$R$4:$R$14</c:f>
              <c:numCache>
                <c:formatCode>0.00</c:formatCode>
                <c:ptCount val="11"/>
                <c:pt idx="0">
                  <c:v>7.7777777777777795</c:v>
                </c:pt>
                <c:pt idx="1">
                  <c:v>7.0606060606060606</c:v>
                </c:pt>
                <c:pt idx="2">
                  <c:v>7.6969696969696964</c:v>
                </c:pt>
                <c:pt idx="3">
                  <c:v>6.838709677419355</c:v>
                </c:pt>
                <c:pt idx="4">
                  <c:v>8.0416666666666661</c:v>
                </c:pt>
                <c:pt idx="5">
                  <c:v>11.294117647058822</c:v>
                </c:pt>
                <c:pt idx="6">
                  <c:v>8.25</c:v>
                </c:pt>
                <c:pt idx="7">
                  <c:v>8.4285714285714288</c:v>
                </c:pt>
                <c:pt idx="8">
                  <c:v>10.416666666666666</c:v>
                </c:pt>
                <c:pt idx="9">
                  <c:v>14.181818181818183</c:v>
                </c:pt>
                <c:pt idx="10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12512"/>
        <c:axId val="150948096"/>
      </c:barChart>
      <c:catAx>
        <c:axId val="150112512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150948096"/>
        <c:crosses val="autoZero"/>
        <c:auto val="1"/>
        <c:lblAlgn val="ctr"/>
        <c:lblOffset val="100"/>
        <c:noMultiLvlLbl val="0"/>
      </c:catAx>
      <c:valAx>
        <c:axId val="1509480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SAR</a:t>
                </a:r>
                <a:endParaRPr lang="en-US"/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5011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909459446291"/>
          <c:y val="2.6085212706167381E-2"/>
          <c:w val="0.76284447605636541"/>
          <c:h val="0.81794315280278862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'All data'!$BJ$2</c:f>
              <c:strCache>
                <c:ptCount val="1"/>
                <c:pt idx="0">
                  <c:v>Ca2+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data'!$BJ$19:$BJ$50</c:f>
              <c:numCache>
                <c:formatCode>0</c:formatCode>
                <c:ptCount val="32"/>
                <c:pt idx="0">
                  <c:v>143.6952941763561</c:v>
                </c:pt>
                <c:pt idx="3">
                  <c:v>251.67722940266481</c:v>
                </c:pt>
                <c:pt idx="6">
                  <c:v>245.22930285942414</c:v>
                </c:pt>
                <c:pt idx="9">
                  <c:v>1421.3184290633264</c:v>
                </c:pt>
                <c:pt idx="12">
                  <c:v>918.02485153949783</c:v>
                </c:pt>
                <c:pt idx="15">
                  <c:v>902.83946304705808</c:v>
                </c:pt>
                <c:pt idx="18">
                  <c:v>1112.7850691152253</c:v>
                </c:pt>
                <c:pt idx="21">
                  <c:v>225.99481012026547</c:v>
                </c:pt>
                <c:pt idx="24" formatCode="0.0">
                  <c:v>95.741304456310189</c:v>
                </c:pt>
                <c:pt idx="27">
                  <c:v>1149.4086531264034</c:v>
                </c:pt>
                <c:pt idx="30">
                  <c:v>273.70327860671688</c:v>
                </c:pt>
              </c:numCache>
            </c:numRef>
          </c:val>
        </c:ser>
        <c:ser>
          <c:idx val="3"/>
          <c:order val="1"/>
          <c:tx>
            <c:strRef>
              <c:f>'All data'!$BK$2</c:f>
              <c:strCache>
                <c:ptCount val="1"/>
                <c:pt idx="0">
                  <c:v>Mg2+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data'!$BK$19:$BK$50</c:f>
              <c:numCache>
                <c:formatCode>0.0</c:formatCode>
                <c:ptCount val="32"/>
                <c:pt idx="0">
                  <c:v>53.827739387956562</c:v>
                </c:pt>
                <c:pt idx="3">
                  <c:v>82.999341888779199</c:v>
                </c:pt>
                <c:pt idx="6">
                  <c:v>74.392810134912793</c:v>
                </c:pt>
                <c:pt idx="9" formatCode="0">
                  <c:v>433.53158933859822</c:v>
                </c:pt>
                <c:pt idx="12" formatCode="0">
                  <c:v>340.93205001645276</c:v>
                </c:pt>
                <c:pt idx="15" formatCode="0">
                  <c:v>231.94389601842713</c:v>
                </c:pt>
                <c:pt idx="18" formatCode="0">
                  <c:v>251.12948338269163</c:v>
                </c:pt>
                <c:pt idx="21">
                  <c:v>63.006581112207954</c:v>
                </c:pt>
                <c:pt idx="24">
                  <c:v>25.508144126357351</c:v>
                </c:pt>
                <c:pt idx="27" formatCode="0">
                  <c:v>308.51678183613029</c:v>
                </c:pt>
                <c:pt idx="30">
                  <c:v>76.878331688055269</c:v>
                </c:pt>
              </c:numCache>
            </c:numRef>
          </c:val>
        </c:ser>
        <c:ser>
          <c:idx val="4"/>
          <c:order val="2"/>
          <c:tx>
            <c:strRef>
              <c:f>'All data'!$BL$2</c:f>
              <c:strCache>
                <c:ptCount val="1"/>
                <c:pt idx="0">
                  <c:v>Na+</c:v>
                </c:pt>
              </c:strCache>
            </c:strRef>
          </c:tx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data'!$BL$19:$BL$50</c:f>
              <c:numCache>
                <c:formatCode>0.00</c:formatCode>
                <c:ptCount val="32"/>
                <c:pt idx="0" formatCode="0.0">
                  <c:v>45.622009569377994</c:v>
                </c:pt>
                <c:pt idx="3" formatCode="0.0">
                  <c:v>67.407133536320146</c:v>
                </c:pt>
                <c:pt idx="6" formatCode="0">
                  <c:v>327.62374945628534</c:v>
                </c:pt>
                <c:pt idx="9" formatCode="0">
                  <c:v>695.06742061765988</c:v>
                </c:pt>
                <c:pt idx="12" formatCode="0">
                  <c:v>795.0369725967812</c:v>
                </c:pt>
                <c:pt idx="15" formatCode="0">
                  <c:v>793.64941278816877</c:v>
                </c:pt>
                <c:pt idx="18" formatCode="0">
                  <c:v>1099.4649847759897</c:v>
                </c:pt>
                <c:pt idx="21" formatCode="0">
                  <c:v>160.77163984341018</c:v>
                </c:pt>
                <c:pt idx="24">
                  <c:v>5.6416702914310575</c:v>
                </c:pt>
                <c:pt idx="27" formatCode="0">
                  <c:v>565.77642453240537</c:v>
                </c:pt>
                <c:pt idx="30" formatCode="0.0">
                  <c:v>36.90561113527621</c:v>
                </c:pt>
              </c:numCache>
            </c:numRef>
          </c:val>
        </c:ser>
        <c:ser>
          <c:idx val="5"/>
          <c:order val="3"/>
          <c:tx>
            <c:strRef>
              <c:f>'All data'!$BM$2</c:f>
              <c:strCache>
                <c:ptCount val="1"/>
                <c:pt idx="0">
                  <c:v>K+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data'!$BM$19:$BM$50</c:f>
              <c:numCache>
                <c:formatCode>0.00</c:formatCode>
                <c:ptCount val="32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 formatCode="0.0">
                  <c:v>66.466165413533844</c:v>
                </c:pt>
                <c:pt idx="12" formatCode="0.0">
                  <c:v>69.06015037593987</c:v>
                </c:pt>
                <c:pt idx="15" formatCode="0.0">
                  <c:v>44.33967571991203</c:v>
                </c:pt>
                <c:pt idx="18" formatCode="0.0">
                  <c:v>70.885888189862428</c:v>
                </c:pt>
                <c:pt idx="21">
                  <c:v>0</c:v>
                </c:pt>
                <c:pt idx="24">
                  <c:v>0</c:v>
                </c:pt>
                <c:pt idx="27" formatCode="0.0">
                  <c:v>30.132729783642784</c:v>
                </c:pt>
                <c:pt idx="30">
                  <c:v>0</c:v>
                </c:pt>
              </c:numCache>
            </c:numRef>
          </c:val>
        </c:ser>
        <c:ser>
          <c:idx val="1"/>
          <c:order val="4"/>
          <c:tx>
            <c:strRef>
              <c:f>'All data'!$BI$2</c:f>
              <c:strCache>
                <c:ptCount val="1"/>
                <c:pt idx="0">
                  <c:v>H+</c:v>
                </c:pt>
              </c:strCache>
            </c:strRef>
          </c:tx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data'!$BI$19:$BI$50</c:f>
              <c:numCache>
                <c:formatCode>0.00</c:formatCode>
                <c:ptCount val="32"/>
                <c:pt idx="0">
                  <c:v>0.25118864315095779</c:v>
                </c:pt>
                <c:pt idx="3">
                  <c:v>0.41686938347033492</c:v>
                </c:pt>
                <c:pt idx="6">
                  <c:v>0.40738027780411229</c:v>
                </c:pt>
                <c:pt idx="9">
                  <c:v>7.7624711662868925E-2</c:v>
                </c:pt>
                <c:pt idx="12">
                  <c:v>3.4673685045253172E-2</c:v>
                </c:pt>
                <c:pt idx="15">
                  <c:v>3.0199517204020188E-2</c:v>
                </c:pt>
                <c:pt idx="18">
                  <c:v>4.0738027780411253E-2</c:v>
                </c:pt>
                <c:pt idx="21">
                  <c:v>0.1659586907437556</c:v>
                </c:pt>
                <c:pt idx="24">
                  <c:v>7.5857757502918149E-2</c:v>
                </c:pt>
                <c:pt idx="27">
                  <c:v>5.3703179637025322E-3</c:v>
                </c:pt>
                <c:pt idx="30">
                  <c:v>0.31622776601683733</c:v>
                </c:pt>
              </c:numCache>
            </c:numRef>
          </c:val>
        </c:ser>
        <c:ser>
          <c:idx val="11"/>
          <c:order val="5"/>
          <c:tx>
            <c:strRef>
              <c:f>'All data'!$BS$2</c:f>
              <c:strCache>
                <c:ptCount val="1"/>
                <c:pt idx="0">
                  <c:v>HCO3-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data'!$BS$19:$BS$50</c:f>
              <c:numCache>
                <c:formatCode>0</c:formatCode>
                <c:ptCount val="32"/>
                <c:pt idx="1">
                  <c:v>281.96105631181916</c:v>
                </c:pt>
                <c:pt idx="4">
                  <c:v>221.61650706456305</c:v>
                </c:pt>
                <c:pt idx="7">
                  <c:v>954.26209784308276</c:v>
                </c:pt>
                <c:pt idx="10">
                  <c:v>1936.6410026827191</c:v>
                </c:pt>
                <c:pt idx="13">
                  <c:v>944.15128036642182</c:v>
                </c:pt>
                <c:pt idx="16">
                  <c:v>825.2366292308202</c:v>
                </c:pt>
                <c:pt idx="19">
                  <c:v>1155.7939535267312</c:v>
                </c:pt>
                <c:pt idx="22">
                  <c:v>225.70731474037734</c:v>
                </c:pt>
                <c:pt idx="25">
                  <c:v>95.471443350449164</c:v>
                </c:pt>
                <c:pt idx="28">
                  <c:v>1710.0053164167766</c:v>
                </c:pt>
                <c:pt idx="31">
                  <c:v>241.89445370529103</c:v>
                </c:pt>
              </c:numCache>
            </c:numRef>
          </c:val>
        </c:ser>
        <c:ser>
          <c:idx val="6"/>
          <c:order val="6"/>
          <c:tx>
            <c:strRef>
              <c:f>'All data'!$BN$2</c:f>
              <c:strCache>
                <c:ptCount val="1"/>
                <c:pt idx="0">
                  <c:v>SO42-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data'!$BN$19:$BN$50</c:f>
              <c:numCache>
                <c:formatCode>0.0</c:formatCode>
                <c:ptCount val="32"/>
                <c:pt idx="1">
                  <c:v>49.480821892211871</c:v>
                </c:pt>
                <c:pt idx="4" formatCode="0">
                  <c:v>100.10462210786241</c:v>
                </c:pt>
                <c:pt idx="7">
                  <c:v>55.60187943892879</c:v>
                </c:pt>
                <c:pt idx="10" formatCode="0">
                  <c:v>369.33701827198752</c:v>
                </c:pt>
                <c:pt idx="13" formatCode="0">
                  <c:v>332.18261227149611</c:v>
                </c:pt>
                <c:pt idx="16" formatCode="0">
                  <c:v>408.94083080047886</c:v>
                </c:pt>
                <c:pt idx="19" formatCode="0">
                  <c:v>491.10600886402187</c:v>
                </c:pt>
                <c:pt idx="22">
                  <c:v>95.274303450470228</c:v>
                </c:pt>
                <c:pt idx="25">
                  <c:v>42.559375099538507</c:v>
                </c:pt>
                <c:pt idx="28" formatCode="0">
                  <c:v>168.43158996374322</c:v>
                </c:pt>
                <c:pt idx="31" formatCode="0">
                  <c:v>185.48294851499756</c:v>
                </c:pt>
              </c:numCache>
            </c:numRef>
          </c:val>
        </c:ser>
        <c:ser>
          <c:idx val="7"/>
          <c:order val="7"/>
          <c:tx>
            <c:strRef>
              <c:f>'All data'!$BO$2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data'!$BO$19:$BO$50</c:f>
              <c:numCache>
                <c:formatCode>0.0</c:formatCode>
                <c:ptCount val="32"/>
                <c:pt idx="1">
                  <c:v>5.0734023127262207</c:v>
                </c:pt>
                <c:pt idx="4">
                  <c:v>6.7958665448952162</c:v>
                </c:pt>
                <c:pt idx="7">
                  <c:v>5.3178850800380157</c:v>
                </c:pt>
                <c:pt idx="10">
                  <c:v>19.673549839476511</c:v>
                </c:pt>
                <c:pt idx="13">
                  <c:v>92.552969827987596</c:v>
                </c:pt>
                <c:pt idx="16">
                  <c:v>54.388255320920337</c:v>
                </c:pt>
                <c:pt idx="19">
                  <c:v>6.389267685656896</c:v>
                </c:pt>
                <c:pt idx="22">
                  <c:v>10.48281447410357</c:v>
                </c:pt>
                <c:pt idx="25">
                  <c:v>8.4695265974434051</c:v>
                </c:pt>
                <c:pt idx="28">
                  <c:v>3.2254578940662864</c:v>
                </c:pt>
                <c:pt idx="31">
                  <c:v>5.9007640202410734</c:v>
                </c:pt>
              </c:numCache>
            </c:numRef>
          </c:val>
        </c:ser>
        <c:ser>
          <c:idx val="8"/>
          <c:order val="8"/>
          <c:tx>
            <c:strRef>
              <c:f>'All data'!$BP$2</c:f>
              <c:strCache>
                <c:ptCount val="1"/>
                <c:pt idx="0">
                  <c:v>Cl-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data'!$BP$19:$BP$50</c:f>
              <c:numCache>
                <c:formatCode>0.0</c:formatCode>
                <c:ptCount val="32"/>
                <c:pt idx="1">
                  <c:v>89.938726490472519</c:v>
                </c:pt>
                <c:pt idx="4">
                  <c:v>95.127004575057242</c:v>
                </c:pt>
                <c:pt idx="7" formatCode="0">
                  <c:v>374.0111189074662</c:v>
                </c:pt>
                <c:pt idx="10" formatCode="0">
                  <c:v>586.70436538593685</c:v>
                </c:pt>
                <c:pt idx="13" formatCode="0">
                  <c:v>927.96246277068872</c:v>
                </c:pt>
                <c:pt idx="16" formatCode="0">
                  <c:v>945.32152930440861</c:v>
                </c:pt>
                <c:pt idx="19" formatCode="0">
                  <c:v>1247.732492612043</c:v>
                </c:pt>
                <c:pt idx="22" formatCode="0">
                  <c:v>217.88788894383362</c:v>
                </c:pt>
                <c:pt idx="25">
                  <c:v>51.583306216027864</c:v>
                </c:pt>
                <c:pt idx="28" formatCode="0">
                  <c:v>407.19831325594726</c:v>
                </c:pt>
                <c:pt idx="31">
                  <c:v>81.512896621800195</c:v>
                </c:pt>
              </c:numCache>
            </c:numRef>
          </c:val>
        </c:ser>
        <c:ser>
          <c:idx val="9"/>
          <c:order val="9"/>
          <c:tx>
            <c:strRef>
              <c:f>'All data'!$BQ$2</c:f>
              <c:strCache>
                <c:ptCount val="1"/>
                <c:pt idx="0">
                  <c:v>Tot-F</c:v>
                </c:pt>
              </c:strCache>
            </c:strRef>
          </c:tx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data'!$BQ$19:$BQ$47</c:f>
              <c:numCache>
                <c:formatCode>0.0</c:formatCode>
                <c:ptCount val="29"/>
                <c:pt idx="1">
                  <c:v>4.0823011140951619</c:v>
                </c:pt>
                <c:pt idx="4">
                  <c:v>5.3480554396150985</c:v>
                </c:pt>
                <c:pt idx="7">
                  <c:v>4.4519013771469833</c:v>
                </c:pt>
                <c:pt idx="10">
                  <c:v>9.3757830691368831</c:v>
                </c:pt>
                <c:pt idx="13">
                  <c:v>15.674176592924082</c:v>
                </c:pt>
                <c:pt idx="16">
                  <c:v>9.4477363342568239</c:v>
                </c:pt>
                <c:pt idx="19">
                  <c:v>8.2723373944355405</c:v>
                </c:pt>
                <c:pt idx="22">
                  <c:v>5.2346243789050417</c:v>
                </c:pt>
                <c:pt idx="25">
                  <c:v>4.3166603957510459</c:v>
                </c:pt>
                <c:pt idx="28">
                  <c:v>4.268951194250679</c:v>
                </c:pt>
              </c:numCache>
            </c:numRef>
          </c:val>
        </c:ser>
        <c:ser>
          <c:idx val="10"/>
          <c:order val="10"/>
          <c:tx>
            <c:strRef>
              <c:f>'All data'!$BR$2</c:f>
              <c:strCache>
                <c:ptCount val="1"/>
                <c:pt idx="0">
                  <c:v>PO43-</c:v>
                </c:pt>
              </c:strCache>
            </c:strRef>
          </c:tx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data'!$BR$19:$BR$47</c:f>
              <c:numCache>
                <c:formatCode>0.0</c:formatCode>
                <c:ptCount val="29"/>
                <c:pt idx="1">
                  <c:v>0.48433968356474005</c:v>
                </c:pt>
                <c:pt idx="4">
                  <c:v>0.48433968356474005</c:v>
                </c:pt>
                <c:pt idx="7">
                  <c:v>0.38747174685179209</c:v>
                </c:pt>
                <c:pt idx="10">
                  <c:v>4.2621892153697125</c:v>
                </c:pt>
                <c:pt idx="13">
                  <c:v>0.58120762027768813</c:v>
                </c:pt>
                <c:pt idx="16">
                  <c:v>0.38747174685179209</c:v>
                </c:pt>
                <c:pt idx="19">
                  <c:v>0.29060381013884407</c:v>
                </c:pt>
                <c:pt idx="22">
                  <c:v>0.29060381013884407</c:v>
                </c:pt>
                <c:pt idx="25">
                  <c:v>0.19373587342589604</c:v>
                </c:pt>
                <c:pt idx="28">
                  <c:v>0.19373587342589604</c:v>
                </c:pt>
              </c:numCache>
            </c:numRef>
          </c:val>
        </c:ser>
        <c:ser>
          <c:idx val="0"/>
          <c:order val="11"/>
          <c:tx>
            <c:strRef>
              <c:f>'All data'!$BE$2</c:f>
              <c:strCache>
                <c:ptCount val="1"/>
                <c:pt idx="0">
                  <c:v>Org. charge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data'!$BT$19:$BT$50</c:f>
              <c:numCache>
                <c:formatCode>0.0</c:formatCode>
                <c:ptCount val="32"/>
                <c:pt idx="1">
                  <c:v>54.052380658592611</c:v>
                </c:pt>
                <c:pt idx="4">
                  <c:v>38.40159615439196</c:v>
                </c:pt>
                <c:pt idx="7">
                  <c:v>25.794857515168601</c:v>
                </c:pt>
                <c:pt idx="10">
                  <c:v>23.285876006369893</c:v>
                </c:pt>
                <c:pt idx="13">
                  <c:v>25.251822554650722</c:v>
                </c:pt>
                <c:pt idx="16">
                  <c:v>26.098982669698081</c:v>
                </c:pt>
                <c:pt idx="19">
                  <c:v>21.775407188738708</c:v>
                </c:pt>
                <c:pt idx="22">
                  <c:v>11.956656484975232</c:v>
                </c:pt>
                <c:pt idx="25">
                  <c:v>13.206561722033289</c:v>
                </c:pt>
                <c:pt idx="28">
                  <c:v>33.764839890150554</c:v>
                </c:pt>
                <c:pt idx="31">
                  <c:v>3.9480040487591719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04573184"/>
        <c:axId val="104579072"/>
      </c:barChart>
      <c:catAx>
        <c:axId val="10457318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04579072"/>
        <c:crosses val="autoZero"/>
        <c:auto val="1"/>
        <c:lblAlgn val="ctr"/>
        <c:lblOffset val="100"/>
        <c:noMultiLvlLbl val="0"/>
      </c:catAx>
      <c:valAx>
        <c:axId val="1045790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04573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424079303942739"/>
          <c:y val="8.3069494090950616E-2"/>
          <c:w val="9.5759236179133428E-2"/>
          <c:h val="0.6601936790321154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DOC</a:t>
            </a:r>
          </a:p>
        </c:rich>
      </c:tx>
      <c:layout>
        <c:manualLayout>
          <c:xMode val="edge"/>
          <c:yMode val="edge"/>
          <c:x val="0.45941265171691176"/>
          <c:y val="2.7777777777777776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strRef>
              <c:f>'All data'!$C$4:$C$14</c:f>
              <c:strCache>
                <c:ptCount val="11"/>
                <c:pt idx="0">
                  <c:v>Solbergvann</c:v>
                </c:pt>
                <c:pt idx="1">
                  <c:v>Puttjern</c:v>
                </c:pt>
                <c:pt idx="2">
                  <c:v>Sværsvann</c:v>
                </c:pt>
                <c:pt idx="3">
                  <c:v>Østensjøvann</c:v>
                </c:pt>
                <c:pt idx="4">
                  <c:v>Årungen</c:v>
                </c:pt>
                <c:pt idx="5">
                  <c:v>Gjersjøen</c:v>
                </c:pt>
                <c:pt idx="6">
                  <c:v>Kolbotntjernet</c:v>
                </c:pt>
                <c:pt idx="7">
                  <c:v>Akerselva</c:v>
                </c:pt>
                <c:pt idx="8">
                  <c:v>Maridalsvannet</c:v>
                </c:pt>
                <c:pt idx="9">
                  <c:v>Nesøytjernet</c:v>
                </c:pt>
                <c:pt idx="10">
                  <c:v>Lutvann</c:v>
                </c:pt>
              </c:strCache>
            </c:strRef>
          </c:cat>
          <c:val>
            <c:numRef>
              <c:f>'All data'!$P$4:$P$14</c:f>
              <c:numCache>
                <c:formatCode>0.00</c:formatCode>
                <c:ptCount val="11"/>
                <c:pt idx="0">
                  <c:v>10.220000000000001</c:v>
                </c:pt>
                <c:pt idx="1">
                  <c:v>7.3609999999999998</c:v>
                </c:pt>
                <c:pt idx="2">
                  <c:v>4.9409999999999998</c:v>
                </c:pt>
                <c:pt idx="3">
                  <c:v>4.3140000000000001</c:v>
                </c:pt>
                <c:pt idx="4">
                  <c:v>4.6420000000000003</c:v>
                </c:pt>
                <c:pt idx="5">
                  <c:v>4.7930000000000001</c:v>
                </c:pt>
                <c:pt idx="6">
                  <c:v>4.008</c:v>
                </c:pt>
                <c:pt idx="7">
                  <c:v>2.2410000000000001</c:v>
                </c:pt>
                <c:pt idx="8">
                  <c:v>2.4460000000000002</c:v>
                </c:pt>
                <c:pt idx="9">
                  <c:v>6.157</c:v>
                </c:pt>
                <c:pt idx="10">
                  <c:v>0.75080000000000002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49344"/>
        <c:axId val="149480192"/>
      </c:barChart>
      <c:catAx>
        <c:axId val="149449344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149480192"/>
        <c:crosses val="autoZero"/>
        <c:auto val="1"/>
        <c:lblAlgn val="ctr"/>
        <c:lblOffset val="100"/>
        <c:noMultiLvlLbl val="0"/>
      </c:catAx>
      <c:valAx>
        <c:axId val="1494801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mg</a:t>
                </a:r>
                <a:r>
                  <a:rPr lang="nb-NO" baseline="0"/>
                  <a:t> C/L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49449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Vis absorbtion</a:t>
            </a:r>
          </a:p>
        </c:rich>
      </c:tx>
      <c:layout>
        <c:manualLayout>
          <c:xMode val="edge"/>
          <c:yMode val="edge"/>
          <c:x val="0.37925005419627145"/>
          <c:y val="4.1666666666666664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strRef>
              <c:f>'All data'!$C$4:$C$14</c:f>
              <c:strCache>
                <c:ptCount val="11"/>
                <c:pt idx="0">
                  <c:v>Solbergvann</c:v>
                </c:pt>
                <c:pt idx="1">
                  <c:v>Puttjern</c:v>
                </c:pt>
                <c:pt idx="2">
                  <c:v>Sværsvann</c:v>
                </c:pt>
                <c:pt idx="3">
                  <c:v>Østensjøvann</c:v>
                </c:pt>
                <c:pt idx="4">
                  <c:v>Årungen</c:v>
                </c:pt>
                <c:pt idx="5">
                  <c:v>Gjersjøen</c:v>
                </c:pt>
                <c:pt idx="6">
                  <c:v>Kolbotntjernet</c:v>
                </c:pt>
                <c:pt idx="7">
                  <c:v>Akerselva</c:v>
                </c:pt>
                <c:pt idx="8">
                  <c:v>Maridalsvannet</c:v>
                </c:pt>
                <c:pt idx="9">
                  <c:v>Nesøytjernet</c:v>
                </c:pt>
                <c:pt idx="10">
                  <c:v>Lutvann</c:v>
                </c:pt>
              </c:strCache>
            </c:strRef>
          </c:cat>
          <c:val>
            <c:numRef>
              <c:f>'All data'!$N$4:$N$14</c:f>
              <c:numCache>
                <c:formatCode>0.000</c:formatCode>
                <c:ptCount val="11"/>
                <c:pt idx="0">
                  <c:v>7.1999999999999995E-2</c:v>
                </c:pt>
                <c:pt idx="1">
                  <c:v>6.6000000000000003E-2</c:v>
                </c:pt>
                <c:pt idx="2">
                  <c:v>3.3000000000000002E-2</c:v>
                </c:pt>
                <c:pt idx="3">
                  <c:v>3.1E-2</c:v>
                </c:pt>
                <c:pt idx="4">
                  <c:v>2.4E-2</c:v>
                </c:pt>
                <c:pt idx="5">
                  <c:v>1.7000000000000001E-2</c:v>
                </c:pt>
                <c:pt idx="6">
                  <c:v>1.6E-2</c:v>
                </c:pt>
                <c:pt idx="7">
                  <c:v>1.4E-2</c:v>
                </c:pt>
                <c:pt idx="8">
                  <c:v>1.2E-2</c:v>
                </c:pt>
                <c:pt idx="9">
                  <c:v>1.0999999999999999E-2</c:v>
                </c:pt>
                <c:pt idx="10">
                  <c:v>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36512"/>
        <c:axId val="120478720"/>
      </c:barChart>
      <c:catAx>
        <c:axId val="95936512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120478720"/>
        <c:crosses val="autoZero"/>
        <c:auto val="1"/>
        <c:lblAlgn val="ctr"/>
        <c:lblOffset val="100"/>
        <c:noMultiLvlLbl val="0"/>
      </c:catAx>
      <c:valAx>
        <c:axId val="1204787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400"/>
                </a:pPr>
                <a:r>
                  <a:rPr lang="en-US" sz="1000" b="1" i="0" baseline="0">
                    <a:effectLst/>
                  </a:rPr>
                  <a:t>Abs. @ </a:t>
                </a:r>
                <a:r>
                  <a:rPr lang="el-GR" sz="1000" b="1" i="0" baseline="0">
                    <a:effectLst/>
                  </a:rPr>
                  <a:t>λ</a:t>
                </a:r>
                <a:r>
                  <a:rPr lang="nb-NO" sz="1000" b="1" i="0" baseline="0">
                    <a:effectLst/>
                  </a:rPr>
                  <a:t>254</a:t>
                </a:r>
                <a:r>
                  <a:rPr lang="en-US" sz="1000" b="1" i="0" baseline="0">
                    <a:effectLst/>
                  </a:rPr>
                  <a:t>nm</a:t>
                </a:r>
                <a:endParaRPr lang="nb-NO" sz="4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056910002846936E-2"/>
              <c:y val="0.20729658792650918"/>
            </c:manualLayout>
          </c:layout>
          <c:overlay val="0"/>
        </c:title>
        <c:numFmt formatCode="0.000" sourceLinked="0"/>
        <c:majorTickMark val="out"/>
        <c:minorTickMark val="none"/>
        <c:tickLblPos val="nextTo"/>
        <c:crossAx val="95936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8.1748282962088373E-2"/>
                  <c:y val="0.38582494896471276"/>
                </c:manualLayout>
              </c:layout>
              <c:numFmt formatCode="General" sourceLinked="0"/>
            </c:trendlineLbl>
          </c:trendline>
          <c:xVal>
            <c:numRef>
              <c:f>'All data'!$BO$4:$BO$14</c:f>
              <c:numCache>
                <c:formatCode>0.0</c:formatCode>
                <c:ptCount val="11"/>
                <c:pt idx="0">
                  <c:v>5.0734023127262207</c:v>
                </c:pt>
                <c:pt idx="1">
                  <c:v>6.7958665448952162</c:v>
                </c:pt>
                <c:pt idx="2">
                  <c:v>5.3178850800380157</c:v>
                </c:pt>
                <c:pt idx="3">
                  <c:v>19.673549839476511</c:v>
                </c:pt>
                <c:pt idx="4" formatCode="0">
                  <c:v>92.552969827987596</c:v>
                </c:pt>
                <c:pt idx="5">
                  <c:v>54.388255320920337</c:v>
                </c:pt>
                <c:pt idx="6">
                  <c:v>6.389267685656896</c:v>
                </c:pt>
                <c:pt idx="7">
                  <c:v>10.48281447410357</c:v>
                </c:pt>
                <c:pt idx="8">
                  <c:v>8.4695265974434051</c:v>
                </c:pt>
                <c:pt idx="9">
                  <c:v>3.2254578940662864</c:v>
                </c:pt>
                <c:pt idx="10">
                  <c:v>5.9007640202410734</c:v>
                </c:pt>
              </c:numCache>
            </c:numRef>
          </c:xVal>
          <c:yVal>
            <c:numRef>
              <c:f>'All data'!$BQ$4:$BQ$14</c:f>
              <c:numCache>
                <c:formatCode>0.00</c:formatCode>
                <c:ptCount val="11"/>
                <c:pt idx="0">
                  <c:v>4.0823011140951619</c:v>
                </c:pt>
                <c:pt idx="1">
                  <c:v>5.3480554396150985</c:v>
                </c:pt>
                <c:pt idx="2">
                  <c:v>4.4519013771469833</c:v>
                </c:pt>
                <c:pt idx="3">
                  <c:v>9.3757830691368831</c:v>
                </c:pt>
                <c:pt idx="4" formatCode="0.0">
                  <c:v>15.674176592924082</c:v>
                </c:pt>
                <c:pt idx="5">
                  <c:v>9.4477363342568239</c:v>
                </c:pt>
                <c:pt idx="6">
                  <c:v>8.2723373944355405</c:v>
                </c:pt>
                <c:pt idx="7">
                  <c:v>5.2346243789050417</c:v>
                </c:pt>
                <c:pt idx="8">
                  <c:v>4.3166603957510459</c:v>
                </c:pt>
                <c:pt idx="9">
                  <c:v>4.268951194250679</c:v>
                </c:pt>
                <c:pt idx="10">
                  <c:v>4.3058528011254529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937600"/>
        <c:axId val="150939904"/>
      </c:scatterChart>
      <c:valAx>
        <c:axId val="15093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NO3(µeq/L)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50939904"/>
        <c:crosses val="autoZero"/>
        <c:crossBetween val="midCat"/>
      </c:valAx>
      <c:valAx>
        <c:axId val="1509399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Tot-F (µeq/L)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509376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'All data'!$AQ$2</c:f>
              <c:strCache>
                <c:ptCount val="1"/>
                <c:pt idx="0">
                  <c:v>Free PO4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'All data'!$C$4:$C$14</c:f>
              <c:strCache>
                <c:ptCount val="11"/>
                <c:pt idx="0">
                  <c:v>Solbergvann</c:v>
                </c:pt>
                <c:pt idx="1">
                  <c:v>Puttjern</c:v>
                </c:pt>
                <c:pt idx="2">
                  <c:v>Sværsvann</c:v>
                </c:pt>
                <c:pt idx="3">
                  <c:v>Østensjøvann</c:v>
                </c:pt>
                <c:pt idx="4">
                  <c:v>Årungen</c:v>
                </c:pt>
                <c:pt idx="5">
                  <c:v>Gjersjøen</c:v>
                </c:pt>
                <c:pt idx="6">
                  <c:v>Kolbotntjernet</c:v>
                </c:pt>
                <c:pt idx="7">
                  <c:v>Akerselva</c:v>
                </c:pt>
                <c:pt idx="8">
                  <c:v>Maridalsvannet</c:v>
                </c:pt>
                <c:pt idx="9">
                  <c:v>Nesøytjernet</c:v>
                </c:pt>
                <c:pt idx="10">
                  <c:v>Lutvann</c:v>
                </c:pt>
              </c:strCache>
            </c:strRef>
          </c:cat>
          <c:val>
            <c:numRef>
              <c:f>'All data'!$AQ$4:$AQ$14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44</c:v>
                </c:pt>
                <c:pt idx="4">
                  <c:v>6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'All data'!$AS$2</c:f>
              <c:strCache>
                <c:ptCount val="1"/>
                <c:pt idx="0">
                  <c:v>DOP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'All data'!$C$4:$C$14</c:f>
              <c:strCache>
                <c:ptCount val="11"/>
                <c:pt idx="0">
                  <c:v>Solbergvann</c:v>
                </c:pt>
                <c:pt idx="1">
                  <c:v>Puttjern</c:v>
                </c:pt>
                <c:pt idx="2">
                  <c:v>Sværsvann</c:v>
                </c:pt>
                <c:pt idx="3">
                  <c:v>Østensjøvann</c:v>
                </c:pt>
                <c:pt idx="4">
                  <c:v>Årungen</c:v>
                </c:pt>
                <c:pt idx="5">
                  <c:v>Gjersjøen</c:v>
                </c:pt>
                <c:pt idx="6">
                  <c:v>Kolbotntjernet</c:v>
                </c:pt>
                <c:pt idx="7">
                  <c:v>Akerselva</c:v>
                </c:pt>
                <c:pt idx="8">
                  <c:v>Maridalsvannet</c:v>
                </c:pt>
                <c:pt idx="9">
                  <c:v>Nesøytjernet</c:v>
                </c:pt>
                <c:pt idx="10">
                  <c:v>Lutvann</c:v>
                </c:pt>
              </c:strCache>
            </c:strRef>
          </c:cat>
          <c:val>
            <c:numRef>
              <c:f>'All data'!$AS$4:$AS$14</c:f>
              <c:numCache>
                <c:formatCode>0.0</c:formatCode>
                <c:ptCount val="11"/>
                <c:pt idx="0">
                  <c:v>35</c:v>
                </c:pt>
                <c:pt idx="1">
                  <c:v>31</c:v>
                </c:pt>
                <c:pt idx="2">
                  <c:v>0</c:v>
                </c:pt>
                <c:pt idx="3">
                  <c:v>10</c:v>
                </c:pt>
                <c:pt idx="4">
                  <c:v>38</c:v>
                </c:pt>
                <c:pt idx="5">
                  <c:v>29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41</c:v>
                </c:pt>
                <c:pt idx="10">
                  <c:v>29</c:v>
                </c:pt>
              </c:numCache>
            </c:numRef>
          </c:val>
        </c:ser>
        <c:ser>
          <c:idx val="2"/>
          <c:order val="2"/>
          <c:tx>
            <c:strRef>
              <c:f>'All data'!$AR$2</c:f>
              <c:strCache>
                <c:ptCount val="1"/>
                <c:pt idx="0">
                  <c:v>PP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val>
            <c:numRef>
              <c:f>'All data'!$AR$4:$AR$14</c:f>
              <c:numCache>
                <c:formatCode>0.0</c:formatCode>
                <c:ptCount val="11"/>
                <c:pt idx="0">
                  <c:v>8</c:v>
                </c:pt>
                <c:pt idx="1">
                  <c:v>12</c:v>
                </c:pt>
                <c:pt idx="2">
                  <c:v>13</c:v>
                </c:pt>
                <c:pt idx="3">
                  <c:v>92</c:v>
                </c:pt>
                <c:pt idx="4">
                  <c:v>15</c:v>
                </c:pt>
                <c:pt idx="5">
                  <c:v>10</c:v>
                </c:pt>
                <c:pt idx="6">
                  <c:v>13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528960"/>
        <c:axId val="196255744"/>
      </c:barChart>
      <c:catAx>
        <c:axId val="19552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96255744"/>
        <c:crosses val="autoZero"/>
        <c:auto val="1"/>
        <c:lblAlgn val="ctr"/>
        <c:lblOffset val="100"/>
        <c:noMultiLvlLbl val="0"/>
      </c:catAx>
      <c:valAx>
        <c:axId val="1962557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ug P/L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95528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Free NO3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'All data'!$AQ$2</c:f>
              <c:strCache>
                <c:ptCount val="1"/>
                <c:pt idx="0">
                  <c:v>Free PO4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'All data'!$C$4:$C$14</c:f>
              <c:strCache>
                <c:ptCount val="11"/>
                <c:pt idx="0">
                  <c:v>Solbergvann</c:v>
                </c:pt>
                <c:pt idx="1">
                  <c:v>Puttjern</c:v>
                </c:pt>
                <c:pt idx="2">
                  <c:v>Sværsvann</c:v>
                </c:pt>
                <c:pt idx="3">
                  <c:v>Østensjøvann</c:v>
                </c:pt>
                <c:pt idx="4">
                  <c:v>Årungen</c:v>
                </c:pt>
                <c:pt idx="5">
                  <c:v>Gjersjøen</c:v>
                </c:pt>
                <c:pt idx="6">
                  <c:v>Kolbotntjernet</c:v>
                </c:pt>
                <c:pt idx="7">
                  <c:v>Akerselva</c:v>
                </c:pt>
                <c:pt idx="8">
                  <c:v>Maridalsvannet</c:v>
                </c:pt>
                <c:pt idx="9">
                  <c:v>Nesøytjernet</c:v>
                </c:pt>
                <c:pt idx="10">
                  <c:v>Lutvann</c:v>
                </c:pt>
              </c:strCache>
            </c:strRef>
          </c:cat>
          <c:val>
            <c:numRef>
              <c:f>'All data'!$AK$4:$AK$14</c:f>
              <c:numCache>
                <c:formatCode>_(* #,##0.00_);_(* \(#,##0.00\);_(* "-"??_);_(@_)</c:formatCode>
                <c:ptCount val="11"/>
                <c:pt idx="0">
                  <c:v>0.31458493518452096</c:v>
                </c:pt>
                <c:pt idx="1">
                  <c:v>0.42138925808935418</c:v>
                </c:pt>
                <c:pt idx="2">
                  <c:v>0.32974450479239326</c:v>
                </c:pt>
                <c:pt idx="3">
                  <c:v>1.2198919028314683</c:v>
                </c:pt>
                <c:pt idx="4">
                  <c:v>5.7389042342330789</c:v>
                </c:pt>
                <c:pt idx="5">
                  <c:v>3.3724362312077112</c:v>
                </c:pt>
                <c:pt idx="6">
                  <c:v>0.39617740460422146</c:v>
                </c:pt>
                <c:pt idx="7">
                  <c:v>0.65000473225139788</c:v>
                </c:pt>
                <c:pt idx="8">
                  <c:v>0.52516739486969399</c:v>
                </c:pt>
                <c:pt idx="9">
                  <c:v>0.2</c:v>
                </c:pt>
                <c:pt idx="10">
                  <c:v>0.36588690437388222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938048"/>
        <c:axId val="118305536"/>
      </c:barChart>
      <c:catAx>
        <c:axId val="95938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8305536"/>
        <c:crosses val="autoZero"/>
        <c:auto val="1"/>
        <c:lblAlgn val="ctr"/>
        <c:lblOffset val="100"/>
        <c:noMultiLvlLbl val="0"/>
      </c:catAx>
      <c:valAx>
        <c:axId val="1183055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ug P/L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95938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'All data'!$CU$4:$CU$14</c:f>
              <c:numCache>
                <c:formatCode>0.0</c:formatCode>
                <c:ptCount val="11"/>
                <c:pt idx="0">
                  <c:v>2.6</c:v>
                </c:pt>
                <c:pt idx="1">
                  <c:v>3.85</c:v>
                </c:pt>
                <c:pt idx="2">
                  <c:v>6.7299999999999995</c:v>
                </c:pt>
                <c:pt idx="3">
                  <c:v>24.4</c:v>
                </c:pt>
                <c:pt idx="4">
                  <c:v>20.9</c:v>
                </c:pt>
                <c:pt idx="5">
                  <c:v>19.830000000000002</c:v>
                </c:pt>
                <c:pt idx="6">
                  <c:v>26.1</c:v>
                </c:pt>
                <c:pt idx="7">
                  <c:v>5.17</c:v>
                </c:pt>
                <c:pt idx="8">
                  <c:v>1.907</c:v>
                </c:pt>
                <c:pt idx="9">
                  <c:v>19.5</c:v>
                </c:pt>
                <c:pt idx="10">
                  <c:v>4.4000000000000004</c:v>
                </c:pt>
              </c:numCache>
            </c:numRef>
          </c:xVal>
          <c:yVal>
            <c:numRef>
              <c:f>'All data'!$CT$4:$CT$14</c:f>
              <c:numCache>
                <c:formatCode>0.0</c:formatCode>
                <c:ptCount val="11"/>
                <c:pt idx="0">
                  <c:v>2.3825102151691087</c:v>
                </c:pt>
                <c:pt idx="1">
                  <c:v>3.6263303555366764</c:v>
                </c:pt>
                <c:pt idx="2">
                  <c:v>6.4843321785417904</c:v>
                </c:pt>
                <c:pt idx="3">
                  <c:v>19.404649587487512</c:v>
                </c:pt>
                <c:pt idx="4">
                  <c:v>19.805082233953335</c:v>
                </c:pt>
                <c:pt idx="5">
                  <c:v>19.478864380640232</c:v>
                </c:pt>
                <c:pt idx="6">
                  <c:v>24.329742398476615</c:v>
                </c:pt>
                <c:pt idx="7">
                  <c:v>4.7149407058700898</c:v>
                </c:pt>
                <c:pt idx="8">
                  <c:v>1.4724049161890194</c:v>
                </c:pt>
                <c:pt idx="9">
                  <c:v>14.209377622418634</c:v>
                </c:pt>
                <c:pt idx="10">
                  <c:v>4.0727243582901673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848576"/>
        <c:axId val="145847040"/>
      </c:scatterChart>
      <c:valAx>
        <c:axId val="14584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Measured mS/cm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45847040"/>
        <c:crosses val="autoZero"/>
        <c:crossBetween val="midCat"/>
      </c:valAx>
      <c:valAx>
        <c:axId val="1458470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Calculated ms/cm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45848576"/>
        <c:crosses val="autoZero"/>
        <c:crossBetween val="midCat"/>
      </c:valAx>
      <c:spPr>
        <a:ln>
          <a:solidFill>
            <a:schemeClr val="lt1">
              <a:shade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909459446291"/>
          <c:y val="2.6085212706167381E-2"/>
          <c:w val="0.849768136843712"/>
          <c:h val="0.8179431528027886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'[1]All data'!$BQ$2</c:f>
              <c:strCache>
                <c:ptCount val="1"/>
                <c:pt idx="0">
                  <c:v>Ca2+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'[1]All data'!$BO$19:$BO$50</c:f>
              <c:strCache>
                <c:ptCount val="31"/>
                <c:pt idx="0">
                  <c:v>Årungen</c:v>
                </c:pt>
                <c:pt idx="3">
                  <c:v>Akerselva</c:v>
                </c:pt>
                <c:pt idx="6">
                  <c:v>Sværsvann</c:v>
                </c:pt>
                <c:pt idx="9">
                  <c:v>Bogstadvannet</c:v>
                </c:pt>
                <c:pt idx="12">
                  <c:v>Lysakerelva</c:v>
                </c:pt>
                <c:pt idx="15">
                  <c:v>Østensjøvann</c:v>
                </c:pt>
                <c:pt idx="18">
                  <c:v>Gjersjøen</c:v>
                </c:pt>
                <c:pt idx="21">
                  <c:v>Maridalsvannet</c:v>
                </c:pt>
                <c:pt idx="24">
                  <c:v>Nesøytjernet</c:v>
                </c:pt>
                <c:pt idx="27">
                  <c:v>Lutvann</c:v>
                </c:pt>
                <c:pt idx="30">
                  <c:v>Kolbotntjernet</c:v>
                </c:pt>
              </c:strCache>
            </c:strRef>
          </c:cat>
          <c:val>
            <c:numRef>
              <c:f>'[1]All data'!$BQ$19:$BQ$50</c:f>
              <c:numCache>
                <c:formatCode>0</c:formatCode>
                <c:ptCount val="32"/>
                <c:pt idx="0">
                  <c:v>1249.3275662977035</c:v>
                </c:pt>
                <c:pt idx="3">
                  <c:v>464.1344049527238</c:v>
                </c:pt>
                <c:pt idx="6">
                  <c:v>271.88352409040209</c:v>
                </c:pt>
                <c:pt idx="9">
                  <c:v>302.83286164202235</c:v>
                </c:pt>
                <c:pt idx="12">
                  <c:v>421.74089610535339</c:v>
                </c:pt>
                <c:pt idx="15">
                  <c:v>1654.531163637108</c:v>
                </c:pt>
                <c:pt idx="18">
                  <c:v>1161.8206334519548</c:v>
                </c:pt>
                <c:pt idx="21">
                  <c:v>129.26137519727158</c:v>
                </c:pt>
                <c:pt idx="24" formatCode="0.0">
                  <c:v>1569.5513103341766</c:v>
                </c:pt>
                <c:pt idx="27">
                  <c:v>382.74455972646592</c:v>
                </c:pt>
                <c:pt idx="30">
                  <c:v>1406.1542349102774</c:v>
                </c:pt>
              </c:numCache>
            </c:numRef>
          </c:val>
        </c:ser>
        <c:ser>
          <c:idx val="3"/>
          <c:order val="1"/>
          <c:tx>
            <c:strRef>
              <c:f>'[1]All data'!$BR$2</c:f>
              <c:strCache>
                <c:ptCount val="1"/>
                <c:pt idx="0">
                  <c:v>Mg2+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'[1]All data'!$BO$19:$BO$50</c:f>
              <c:strCache>
                <c:ptCount val="31"/>
                <c:pt idx="0">
                  <c:v>Årungen</c:v>
                </c:pt>
                <c:pt idx="3">
                  <c:v>Akerselva</c:v>
                </c:pt>
                <c:pt idx="6">
                  <c:v>Sværsvann</c:v>
                </c:pt>
                <c:pt idx="9">
                  <c:v>Bogstadvannet</c:v>
                </c:pt>
                <c:pt idx="12">
                  <c:v>Lysakerelva</c:v>
                </c:pt>
                <c:pt idx="15">
                  <c:v>Østensjøvann</c:v>
                </c:pt>
                <c:pt idx="18">
                  <c:v>Gjersjøen</c:v>
                </c:pt>
                <c:pt idx="21">
                  <c:v>Maridalsvannet</c:v>
                </c:pt>
                <c:pt idx="24">
                  <c:v>Nesøytjernet</c:v>
                </c:pt>
                <c:pt idx="27">
                  <c:v>Lutvann</c:v>
                </c:pt>
                <c:pt idx="30">
                  <c:v>Kolbotntjernet</c:v>
                </c:pt>
              </c:strCache>
            </c:strRef>
          </c:cat>
          <c:val>
            <c:numRef>
              <c:f>'[1]All data'!$BR$19:$BR$50</c:f>
              <c:numCache>
                <c:formatCode>0.0</c:formatCode>
                <c:ptCount val="32"/>
                <c:pt idx="0">
                  <c:v>453.49622774933027</c:v>
                </c:pt>
                <c:pt idx="3">
                  <c:v>150.9570562913604</c:v>
                </c:pt>
                <c:pt idx="6">
                  <c:v>64.691693571866722</c:v>
                </c:pt>
                <c:pt idx="9" formatCode="0">
                  <c:v>45.159627849685336</c:v>
                </c:pt>
                <c:pt idx="12" formatCode="0">
                  <c:v>73.826619404587504</c:v>
                </c:pt>
                <c:pt idx="15" formatCode="0">
                  <c:v>466.97046234872317</c:v>
                </c:pt>
                <c:pt idx="18" formatCode="0">
                  <c:v>293.9822340860153</c:v>
                </c:pt>
                <c:pt idx="21">
                  <c:v>15.522682527521889</c:v>
                </c:pt>
                <c:pt idx="24">
                  <c:v>389.151183090291</c:v>
                </c:pt>
                <c:pt idx="27" formatCode="0">
                  <c:v>95.210197859841514</c:v>
                </c:pt>
                <c:pt idx="30">
                  <c:v>309.40234884165022</c:v>
                </c:pt>
              </c:numCache>
            </c:numRef>
          </c:val>
        </c:ser>
        <c:ser>
          <c:idx val="4"/>
          <c:order val="2"/>
          <c:tx>
            <c:strRef>
              <c:f>'[1]All data'!$BS$2</c:f>
              <c:strCache>
                <c:ptCount val="1"/>
                <c:pt idx="0">
                  <c:v>Na+</c:v>
                </c:pt>
              </c:strCache>
            </c:strRef>
          </c:tx>
          <c:invertIfNegative val="0"/>
          <c:cat>
            <c:strRef>
              <c:f>'[1]All data'!$BO$19:$BO$50</c:f>
              <c:strCache>
                <c:ptCount val="31"/>
                <c:pt idx="0">
                  <c:v>Årungen</c:v>
                </c:pt>
                <c:pt idx="3">
                  <c:v>Akerselva</c:v>
                </c:pt>
                <c:pt idx="6">
                  <c:v>Sværsvann</c:v>
                </c:pt>
                <c:pt idx="9">
                  <c:v>Bogstadvannet</c:v>
                </c:pt>
                <c:pt idx="12">
                  <c:v>Lysakerelva</c:v>
                </c:pt>
                <c:pt idx="15">
                  <c:v>Østensjøvann</c:v>
                </c:pt>
                <c:pt idx="18">
                  <c:v>Gjersjøen</c:v>
                </c:pt>
                <c:pt idx="21">
                  <c:v>Maridalsvannet</c:v>
                </c:pt>
                <c:pt idx="24">
                  <c:v>Nesøytjernet</c:v>
                </c:pt>
                <c:pt idx="27">
                  <c:v>Lutvann</c:v>
                </c:pt>
                <c:pt idx="30">
                  <c:v>Kolbotntjernet</c:v>
                </c:pt>
              </c:strCache>
            </c:strRef>
          </c:cat>
          <c:val>
            <c:numRef>
              <c:f>'[1]All data'!$BS$19:$BS$50</c:f>
              <c:numCache>
                <c:formatCode>0.00</c:formatCode>
                <c:ptCount val="32"/>
                <c:pt idx="0" formatCode="0.0">
                  <c:v>914.75789999890128</c:v>
                </c:pt>
                <c:pt idx="3" formatCode="0.0">
                  <c:v>535.55439243163823</c:v>
                </c:pt>
                <c:pt idx="6" formatCode="0">
                  <c:v>333.11188064302786</c:v>
                </c:pt>
                <c:pt idx="9" formatCode="0">
                  <c:v>71.458731811447109</c:v>
                </c:pt>
                <c:pt idx="12" formatCode="0">
                  <c:v>117.0823156054133</c:v>
                </c:pt>
                <c:pt idx="15" formatCode="0">
                  <c:v>865.37209221349849</c:v>
                </c:pt>
                <c:pt idx="18" formatCode="0">
                  <c:v>853.1137092147718</c:v>
                </c:pt>
                <c:pt idx="21" formatCode="0">
                  <c:v>44.38033029698353</c:v>
                </c:pt>
                <c:pt idx="24">
                  <c:v>688.4013599815454</c:v>
                </c:pt>
                <c:pt idx="27" formatCode="0">
                  <c:v>83.828499120810321</c:v>
                </c:pt>
                <c:pt idx="30" formatCode="0.0">
                  <c:v>1177.6737437304007</c:v>
                </c:pt>
              </c:numCache>
            </c:numRef>
          </c:val>
        </c:ser>
        <c:ser>
          <c:idx val="5"/>
          <c:order val="3"/>
          <c:tx>
            <c:strRef>
              <c:f>'[1]All data'!$BT$2</c:f>
              <c:strCache>
                <c:ptCount val="1"/>
                <c:pt idx="0">
                  <c:v>K+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'[1]All data'!$BO$19:$BO$50</c:f>
              <c:strCache>
                <c:ptCount val="31"/>
                <c:pt idx="0">
                  <c:v>Årungen</c:v>
                </c:pt>
                <c:pt idx="3">
                  <c:v>Akerselva</c:v>
                </c:pt>
                <c:pt idx="6">
                  <c:v>Sværsvann</c:v>
                </c:pt>
                <c:pt idx="9">
                  <c:v>Bogstadvannet</c:v>
                </c:pt>
                <c:pt idx="12">
                  <c:v>Lysakerelva</c:v>
                </c:pt>
                <c:pt idx="15">
                  <c:v>Østensjøvann</c:v>
                </c:pt>
                <c:pt idx="18">
                  <c:v>Gjersjøen</c:v>
                </c:pt>
                <c:pt idx="21">
                  <c:v>Maridalsvannet</c:v>
                </c:pt>
                <c:pt idx="24">
                  <c:v>Nesøytjernet</c:v>
                </c:pt>
                <c:pt idx="27">
                  <c:v>Lutvann</c:v>
                </c:pt>
                <c:pt idx="30">
                  <c:v>Kolbotntjernet</c:v>
                </c:pt>
              </c:strCache>
            </c:strRef>
          </c:cat>
          <c:val>
            <c:numRef>
              <c:f>'[1]All data'!$BT$19:$BT$50</c:f>
              <c:numCache>
                <c:formatCode>0.00</c:formatCode>
                <c:ptCount val="32"/>
                <c:pt idx="0">
                  <c:v>124.90022645860535</c:v>
                </c:pt>
                <c:pt idx="3">
                  <c:v>31.34580972580056</c:v>
                </c:pt>
                <c:pt idx="6">
                  <c:v>20.323223684205537</c:v>
                </c:pt>
                <c:pt idx="9" formatCode="0.0">
                  <c:v>12.13176030390896</c:v>
                </c:pt>
                <c:pt idx="12" formatCode="0.0">
                  <c:v>15.541342350423452</c:v>
                </c:pt>
                <c:pt idx="15" formatCode="0.0">
                  <c:v>93.762091824651847</c:v>
                </c:pt>
                <c:pt idx="18" formatCode="0.0">
                  <c:v>77.580352159784766</c:v>
                </c:pt>
                <c:pt idx="21">
                  <c:v>8.3033173846536528</c:v>
                </c:pt>
                <c:pt idx="24">
                  <c:v>63.287763042585624</c:v>
                </c:pt>
                <c:pt idx="27" formatCode="0.0">
                  <c:v>14.228605847811668</c:v>
                </c:pt>
                <c:pt idx="30">
                  <c:v>101.38439282045911</c:v>
                </c:pt>
              </c:numCache>
            </c:numRef>
          </c:val>
        </c:ser>
        <c:ser>
          <c:idx val="1"/>
          <c:order val="4"/>
          <c:tx>
            <c:strRef>
              <c:f>'[1]All data'!$BP$2</c:f>
              <c:strCache>
                <c:ptCount val="1"/>
                <c:pt idx="0">
                  <c:v>H+</c:v>
                </c:pt>
              </c:strCache>
            </c:strRef>
          </c:tx>
          <c:invertIfNegative val="0"/>
          <c:cat>
            <c:strRef>
              <c:f>'[1]All data'!$BO$19:$BO$50</c:f>
              <c:strCache>
                <c:ptCount val="31"/>
                <c:pt idx="0">
                  <c:v>Årungen</c:v>
                </c:pt>
                <c:pt idx="3">
                  <c:v>Akerselva</c:v>
                </c:pt>
                <c:pt idx="6">
                  <c:v>Sværsvann</c:v>
                </c:pt>
                <c:pt idx="9">
                  <c:v>Bogstadvannet</c:v>
                </c:pt>
                <c:pt idx="12">
                  <c:v>Lysakerelva</c:v>
                </c:pt>
                <c:pt idx="15">
                  <c:v>Østensjøvann</c:v>
                </c:pt>
                <c:pt idx="18">
                  <c:v>Gjersjøen</c:v>
                </c:pt>
                <c:pt idx="21">
                  <c:v>Maridalsvannet</c:v>
                </c:pt>
                <c:pt idx="24">
                  <c:v>Nesøytjernet</c:v>
                </c:pt>
                <c:pt idx="27">
                  <c:v>Lutvann</c:v>
                </c:pt>
                <c:pt idx="30">
                  <c:v>Kolbotntjernet</c:v>
                </c:pt>
              </c:strCache>
            </c:strRef>
          </c:cat>
          <c:val>
            <c:numRef>
              <c:f>'[1]All data'!$BP$19:$BP$50</c:f>
              <c:numCache>
                <c:formatCode>0.00</c:formatCode>
                <c:ptCount val="32"/>
                <c:pt idx="0">
                  <c:v>4.1686938347033513E-2</c:v>
                </c:pt>
                <c:pt idx="3">
                  <c:v>2.9512092266663778E-2</c:v>
                </c:pt>
                <c:pt idx="6">
                  <c:v>0.56234132519034874</c:v>
                </c:pt>
                <c:pt idx="9">
                  <c:v>0.14791083881682041</c:v>
                </c:pt>
                <c:pt idx="12">
                  <c:v>0.25118864315095779</c:v>
                </c:pt>
                <c:pt idx="15">
                  <c:v>5.2480746024977189E-2</c:v>
                </c:pt>
                <c:pt idx="18">
                  <c:v>3.5481338923357426E-2</c:v>
                </c:pt>
                <c:pt idx="21">
                  <c:v>0.20892961308540389</c:v>
                </c:pt>
                <c:pt idx="24">
                  <c:v>1.5848931924611134E-2</c:v>
                </c:pt>
                <c:pt idx="27">
                  <c:v>5.8884365535558779E-2</c:v>
                </c:pt>
                <c:pt idx="30">
                  <c:v>3.9810717055349568E-2</c:v>
                </c:pt>
              </c:numCache>
            </c:numRef>
          </c:val>
        </c:ser>
        <c:ser>
          <c:idx val="11"/>
          <c:order val="5"/>
          <c:tx>
            <c:strRef>
              <c:f>'[1]All data'!$BZ$2</c:f>
              <c:strCache>
                <c:ptCount val="1"/>
                <c:pt idx="0">
                  <c:v>Alkalinity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'[1]All data'!$BO$19:$BO$50</c:f>
              <c:strCache>
                <c:ptCount val="31"/>
                <c:pt idx="0">
                  <c:v>Årungen</c:v>
                </c:pt>
                <c:pt idx="3">
                  <c:v>Akerselva</c:v>
                </c:pt>
                <c:pt idx="6">
                  <c:v>Sværsvann</c:v>
                </c:pt>
                <c:pt idx="9">
                  <c:v>Bogstadvannet</c:v>
                </c:pt>
                <c:pt idx="12">
                  <c:v>Lysakerelva</c:v>
                </c:pt>
                <c:pt idx="15">
                  <c:v>Østensjøvann</c:v>
                </c:pt>
                <c:pt idx="18">
                  <c:v>Gjersjøen</c:v>
                </c:pt>
                <c:pt idx="21">
                  <c:v>Maridalsvannet</c:v>
                </c:pt>
                <c:pt idx="24">
                  <c:v>Nesøytjernet</c:v>
                </c:pt>
                <c:pt idx="27">
                  <c:v>Lutvann</c:v>
                </c:pt>
                <c:pt idx="30">
                  <c:v>Kolbotntjernet</c:v>
                </c:pt>
              </c:strCache>
            </c:strRef>
          </c:cat>
          <c:val>
            <c:numRef>
              <c:f>'[1]All data'!$BZ$19:$BZ$50</c:f>
              <c:numCache>
                <c:formatCode>0</c:formatCode>
                <c:ptCount val="32"/>
                <c:pt idx="1">
                  <c:v>885.03333935433432</c:v>
                </c:pt>
                <c:pt idx="4">
                  <c:v>110.79899835272064</c:v>
                </c:pt>
                <c:pt idx="7">
                  <c:v>190.72396207725149</c:v>
                </c:pt>
                <c:pt idx="10">
                  <c:v>210.30078665581024</c:v>
                </c:pt>
                <c:pt idx="13">
                  <c:v>315.150491258344</c:v>
                </c:pt>
                <c:pt idx="16">
                  <c:v>1345.4488349542421</c:v>
                </c:pt>
                <c:pt idx="19">
                  <c:v>710.70463796542924</c:v>
                </c:pt>
                <c:pt idx="22">
                  <c:v>80.275484903459301</c:v>
                </c:pt>
                <c:pt idx="25">
                  <c:v>1500.9347710876136</c:v>
                </c:pt>
                <c:pt idx="28">
                  <c:v>196.80765050898876</c:v>
                </c:pt>
                <c:pt idx="31">
                  <c:v>1042.613873279319</c:v>
                </c:pt>
              </c:numCache>
            </c:numRef>
          </c:val>
        </c:ser>
        <c:ser>
          <c:idx val="6"/>
          <c:order val="6"/>
          <c:tx>
            <c:strRef>
              <c:f>'[1]All data'!$BU$2</c:f>
              <c:strCache>
                <c:ptCount val="1"/>
                <c:pt idx="0">
                  <c:v>SO42-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'[1]All data'!$BO$19:$BO$50</c:f>
              <c:strCache>
                <c:ptCount val="31"/>
                <c:pt idx="0">
                  <c:v>Årungen</c:v>
                </c:pt>
                <c:pt idx="3">
                  <c:v>Akerselva</c:v>
                </c:pt>
                <c:pt idx="6">
                  <c:v>Sværsvann</c:v>
                </c:pt>
                <c:pt idx="9">
                  <c:v>Bogstadvannet</c:v>
                </c:pt>
                <c:pt idx="12">
                  <c:v>Lysakerelva</c:v>
                </c:pt>
                <c:pt idx="15">
                  <c:v>Østensjøvann</c:v>
                </c:pt>
                <c:pt idx="18">
                  <c:v>Gjersjøen</c:v>
                </c:pt>
                <c:pt idx="21">
                  <c:v>Maridalsvannet</c:v>
                </c:pt>
                <c:pt idx="24">
                  <c:v>Nesøytjernet</c:v>
                </c:pt>
                <c:pt idx="27">
                  <c:v>Lutvann</c:v>
                </c:pt>
                <c:pt idx="30">
                  <c:v>Kolbotntjernet</c:v>
                </c:pt>
              </c:strCache>
            </c:strRef>
          </c:cat>
          <c:val>
            <c:numRef>
              <c:f>'[1]All data'!$BU$19:$BU$50</c:f>
              <c:numCache>
                <c:formatCode>0.0</c:formatCode>
                <c:ptCount val="32"/>
                <c:pt idx="1">
                  <c:v>279.4694203037501</c:v>
                </c:pt>
                <c:pt idx="4" formatCode="0">
                  <c:v>140.95367723979746</c:v>
                </c:pt>
                <c:pt idx="7">
                  <c:v>55.571750129536277</c:v>
                </c:pt>
                <c:pt idx="10" formatCode="0">
                  <c:v>62.050279145016773</c:v>
                </c:pt>
                <c:pt idx="13" formatCode="0">
                  <c:v>98.831544636916732</c:v>
                </c:pt>
                <c:pt idx="16" formatCode="0">
                  <c:v>392.22092432931862</c:v>
                </c:pt>
                <c:pt idx="19" formatCode="0">
                  <c:v>370.80521221449959</c:v>
                </c:pt>
                <c:pt idx="22">
                  <c:v>42.876114277136558</c:v>
                </c:pt>
                <c:pt idx="25">
                  <c:v>149.72092421819798</c:v>
                </c:pt>
                <c:pt idx="28" formatCode="0">
                  <c:v>177.2117085205779</c:v>
                </c:pt>
                <c:pt idx="31" formatCode="0">
                  <c:v>443.39337188307553</c:v>
                </c:pt>
              </c:numCache>
            </c:numRef>
          </c:val>
        </c:ser>
        <c:ser>
          <c:idx val="7"/>
          <c:order val="7"/>
          <c:tx>
            <c:strRef>
              <c:f>'[1]All data'!$BV$2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'[1]All data'!$BO$19:$BO$50</c:f>
              <c:strCache>
                <c:ptCount val="31"/>
                <c:pt idx="0">
                  <c:v>Årungen</c:v>
                </c:pt>
                <c:pt idx="3">
                  <c:v>Akerselva</c:v>
                </c:pt>
                <c:pt idx="6">
                  <c:v>Sværsvann</c:v>
                </c:pt>
                <c:pt idx="9">
                  <c:v>Bogstadvannet</c:v>
                </c:pt>
                <c:pt idx="12">
                  <c:v>Lysakerelva</c:v>
                </c:pt>
                <c:pt idx="15">
                  <c:v>Østensjøvann</c:v>
                </c:pt>
                <c:pt idx="18">
                  <c:v>Gjersjøen</c:v>
                </c:pt>
                <c:pt idx="21">
                  <c:v>Maridalsvannet</c:v>
                </c:pt>
                <c:pt idx="24">
                  <c:v>Nesøytjernet</c:v>
                </c:pt>
                <c:pt idx="27">
                  <c:v>Lutvann</c:v>
                </c:pt>
                <c:pt idx="30">
                  <c:v>Kolbotntjernet</c:v>
                </c:pt>
              </c:strCache>
            </c:strRef>
          </c:cat>
          <c:val>
            <c:numRef>
              <c:f>'[1]All data'!$BV$19:$BV$50</c:f>
              <c:numCache>
                <c:formatCode>0.0</c:formatCode>
                <c:ptCount val="32"/>
                <c:pt idx="1">
                  <c:v>113.02145967011192</c:v>
                </c:pt>
                <c:pt idx="4">
                  <c:v>20.094584251107008</c:v>
                </c:pt>
                <c:pt idx="7">
                  <c:v>12.372140543229138</c:v>
                </c:pt>
                <c:pt idx="10">
                  <c:v>21.301952464071096</c:v>
                </c:pt>
                <c:pt idx="13">
                  <c:v>22.580694820869834</c:v>
                </c:pt>
                <c:pt idx="16">
                  <c:v>38.364176324307188</c:v>
                </c:pt>
                <c:pt idx="19">
                  <c:v>68.476355922041535</c:v>
                </c:pt>
                <c:pt idx="22">
                  <c:v>19.495707505041018</c:v>
                </c:pt>
                <c:pt idx="25">
                  <c:v>13.778463794285559</c:v>
                </c:pt>
                <c:pt idx="28">
                  <c:v>13.977359362543515</c:v>
                </c:pt>
                <c:pt idx="31">
                  <c:v>16.543371533261933</c:v>
                </c:pt>
              </c:numCache>
            </c:numRef>
          </c:val>
        </c:ser>
        <c:ser>
          <c:idx val="8"/>
          <c:order val="8"/>
          <c:tx>
            <c:strRef>
              <c:f>'[1]All data'!$BW$2</c:f>
              <c:strCache>
                <c:ptCount val="1"/>
                <c:pt idx="0">
                  <c:v>Cl-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'[1]All data'!$BO$19:$BO$50</c:f>
              <c:strCache>
                <c:ptCount val="31"/>
                <c:pt idx="0">
                  <c:v>Årungen</c:v>
                </c:pt>
                <c:pt idx="3">
                  <c:v>Akerselva</c:v>
                </c:pt>
                <c:pt idx="6">
                  <c:v>Sværsvann</c:v>
                </c:pt>
                <c:pt idx="9">
                  <c:v>Bogstadvannet</c:v>
                </c:pt>
                <c:pt idx="12">
                  <c:v>Lysakerelva</c:v>
                </c:pt>
                <c:pt idx="15">
                  <c:v>Østensjøvann</c:v>
                </c:pt>
                <c:pt idx="18">
                  <c:v>Gjersjøen</c:v>
                </c:pt>
                <c:pt idx="21">
                  <c:v>Maridalsvannet</c:v>
                </c:pt>
                <c:pt idx="24">
                  <c:v>Nesøytjernet</c:v>
                </c:pt>
                <c:pt idx="27">
                  <c:v>Lutvann</c:v>
                </c:pt>
                <c:pt idx="30">
                  <c:v>Kolbotntjernet</c:v>
                </c:pt>
              </c:strCache>
            </c:strRef>
          </c:cat>
          <c:val>
            <c:numRef>
              <c:f>'[1]All data'!$BW$19:$BW$50</c:f>
              <c:numCache>
                <c:formatCode>0.0</c:formatCode>
                <c:ptCount val="32"/>
                <c:pt idx="1">
                  <c:v>983.78169547252264</c:v>
                </c:pt>
                <c:pt idx="4">
                  <c:v>466.43887578643898</c:v>
                </c:pt>
                <c:pt idx="7" formatCode="0">
                  <c:v>309.12904511492502</c:v>
                </c:pt>
                <c:pt idx="10" formatCode="0">
                  <c:v>74.084981268839016</c:v>
                </c:pt>
                <c:pt idx="13" formatCode="0">
                  <c:v>104.5369364671419</c:v>
                </c:pt>
                <c:pt idx="16" formatCode="0">
                  <c:v>709.07492764518429</c:v>
                </c:pt>
                <c:pt idx="19" formatCode="0">
                  <c:v>881.5829104718398</c:v>
                </c:pt>
                <c:pt idx="22" formatCode="0">
                  <c:v>45.668162762036026</c:v>
                </c:pt>
                <c:pt idx="25">
                  <c:v>374.51644392192884</c:v>
                </c:pt>
                <c:pt idx="28" formatCode="0">
                  <c:v>76.051344573766841</c:v>
                </c:pt>
                <c:pt idx="31">
                  <c:v>1182.8447303508256</c:v>
                </c:pt>
              </c:numCache>
            </c:numRef>
          </c:val>
        </c:ser>
        <c:ser>
          <c:idx val="9"/>
          <c:order val="9"/>
          <c:tx>
            <c:strRef>
              <c:f>'[1]All data'!$BX$2</c:f>
              <c:strCache>
                <c:ptCount val="1"/>
                <c:pt idx="0">
                  <c:v>Tot-F</c:v>
                </c:pt>
              </c:strCache>
            </c:strRef>
          </c:tx>
          <c:invertIfNegative val="0"/>
          <c:cat>
            <c:strRef>
              <c:f>'[1]All data'!$BO$19:$BO$50</c:f>
              <c:strCache>
                <c:ptCount val="31"/>
                <c:pt idx="0">
                  <c:v>Årungen</c:v>
                </c:pt>
                <c:pt idx="3">
                  <c:v>Akerselva</c:v>
                </c:pt>
                <c:pt idx="6">
                  <c:v>Sværsvann</c:v>
                </c:pt>
                <c:pt idx="9">
                  <c:v>Bogstadvannet</c:v>
                </c:pt>
                <c:pt idx="12">
                  <c:v>Lysakerelva</c:v>
                </c:pt>
                <c:pt idx="15">
                  <c:v>Østensjøvann</c:v>
                </c:pt>
                <c:pt idx="18">
                  <c:v>Gjersjøen</c:v>
                </c:pt>
                <c:pt idx="21">
                  <c:v>Maridalsvannet</c:v>
                </c:pt>
                <c:pt idx="24">
                  <c:v>Nesøytjernet</c:v>
                </c:pt>
                <c:pt idx="27">
                  <c:v>Lutvann</c:v>
                </c:pt>
                <c:pt idx="30">
                  <c:v>Kolbotntjernet</c:v>
                </c:pt>
              </c:strCache>
            </c:strRef>
          </c:cat>
          <c:val>
            <c:numRef>
              <c:f>'[1]All data'!$BX$19:$BX$47</c:f>
              <c:numCache>
                <c:formatCode>0.0</c:formatCode>
                <c:ptCount val="29"/>
                <c:pt idx="1">
                  <c:v>12.943055541371958</c:v>
                </c:pt>
                <c:pt idx="4">
                  <c:v>4.5810414681776477</c:v>
                </c:pt>
                <c:pt idx="7">
                  <c:v>3.2991503956156878</c:v>
                </c:pt>
                <c:pt idx="10">
                  <c:v>4.1231549006771813</c:v>
                </c:pt>
                <c:pt idx="13">
                  <c:v>4.3760855852845566</c:v>
                </c:pt>
                <c:pt idx="16">
                  <c:v>7.3025829958268194</c:v>
                </c:pt>
                <c:pt idx="19">
                  <c:v>7.9284829702419604</c:v>
                </c:pt>
                <c:pt idx="22">
                  <c:v>3.5626360733597537</c:v>
                </c:pt>
                <c:pt idx="25">
                  <c:v>3.5946633654655851</c:v>
                </c:pt>
                <c:pt idx="28">
                  <c:v>3.1395794496116567</c:v>
                </c:pt>
              </c:numCache>
            </c:numRef>
          </c:val>
        </c:ser>
        <c:ser>
          <c:idx val="10"/>
          <c:order val="10"/>
          <c:tx>
            <c:strRef>
              <c:f>'[1]All data'!$BY$2</c:f>
              <c:strCache>
                <c:ptCount val="1"/>
                <c:pt idx="0">
                  <c:v>PO43-</c:v>
                </c:pt>
              </c:strCache>
            </c:strRef>
          </c:tx>
          <c:invertIfNegative val="0"/>
          <c:cat>
            <c:strRef>
              <c:f>'[1]All data'!$BO$19:$BO$50</c:f>
              <c:strCache>
                <c:ptCount val="31"/>
                <c:pt idx="0">
                  <c:v>Årungen</c:v>
                </c:pt>
                <c:pt idx="3">
                  <c:v>Akerselva</c:v>
                </c:pt>
                <c:pt idx="6">
                  <c:v>Sværsvann</c:v>
                </c:pt>
                <c:pt idx="9">
                  <c:v>Bogstadvannet</c:v>
                </c:pt>
                <c:pt idx="12">
                  <c:v>Lysakerelva</c:v>
                </c:pt>
                <c:pt idx="15">
                  <c:v>Østensjøvann</c:v>
                </c:pt>
                <c:pt idx="18">
                  <c:v>Gjersjøen</c:v>
                </c:pt>
                <c:pt idx="21">
                  <c:v>Maridalsvannet</c:v>
                </c:pt>
                <c:pt idx="24">
                  <c:v>Nesøytjernet</c:v>
                </c:pt>
                <c:pt idx="27">
                  <c:v>Lutvann</c:v>
                </c:pt>
                <c:pt idx="30">
                  <c:v>Kolbotntjernet</c:v>
                </c:pt>
              </c:strCache>
            </c:strRef>
          </c:cat>
          <c:val>
            <c:numRef>
              <c:f>'[1]All data'!$BY$19:$BY$47</c:f>
              <c:numCache>
                <c:formatCode>0.0</c:formatCode>
                <c:ptCount val="29"/>
                <c:pt idx="1">
                  <c:v>0.51425733846282995</c:v>
                </c:pt>
                <c:pt idx="4">
                  <c:v>1.8425905167319754</c:v>
                </c:pt>
                <c:pt idx="7">
                  <c:v>6.3125315654440697E-2</c:v>
                </c:pt>
                <c:pt idx="10">
                  <c:v>6.3125315654440697E-2</c:v>
                </c:pt>
                <c:pt idx="13">
                  <c:v>0.13831398612250556</c:v>
                </c:pt>
                <c:pt idx="16">
                  <c:v>2.9704205737529485</c:v>
                </c:pt>
                <c:pt idx="19">
                  <c:v>0.13831398612250556</c:v>
                </c:pt>
                <c:pt idx="22">
                  <c:v>1.2999535342397457E-2</c:v>
                </c:pt>
                <c:pt idx="25">
                  <c:v>1.2999535342397457E-2</c:v>
                </c:pt>
                <c:pt idx="28">
                  <c:v>0</c:v>
                </c:pt>
              </c:numCache>
            </c:numRef>
          </c:val>
        </c:ser>
        <c:ser>
          <c:idx val="0"/>
          <c:order val="11"/>
          <c:tx>
            <c:strRef>
              <c:f>'[1]All data'!$BM$2</c:f>
              <c:strCache>
                <c:ptCount val="1"/>
                <c:pt idx="0">
                  <c:v>Org. charge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'[1]All data'!$BO$19:$BO$50</c:f>
              <c:strCache>
                <c:ptCount val="31"/>
                <c:pt idx="0">
                  <c:v>Årungen</c:v>
                </c:pt>
                <c:pt idx="3">
                  <c:v>Akerselva</c:v>
                </c:pt>
                <c:pt idx="6">
                  <c:v>Sværsvann</c:v>
                </c:pt>
                <c:pt idx="9">
                  <c:v>Bogstadvannet</c:v>
                </c:pt>
                <c:pt idx="12">
                  <c:v>Lysakerelva</c:v>
                </c:pt>
                <c:pt idx="15">
                  <c:v>Østensjøvann</c:v>
                </c:pt>
                <c:pt idx="18">
                  <c:v>Gjersjøen</c:v>
                </c:pt>
                <c:pt idx="21">
                  <c:v>Maridalsvannet</c:v>
                </c:pt>
                <c:pt idx="24">
                  <c:v>Nesøytjernet</c:v>
                </c:pt>
                <c:pt idx="27">
                  <c:v>Lutvann</c:v>
                </c:pt>
                <c:pt idx="30">
                  <c:v>Kolbotntjernet</c:v>
                </c:pt>
              </c:strCache>
            </c:strRef>
          </c:cat>
          <c:val>
            <c:numRef>
              <c:f>'[1]All data'!$CA$19:$CA$50</c:f>
              <c:numCache>
                <c:formatCode>0.0</c:formatCode>
                <c:ptCount val="32"/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6">
                  <c:v>0</c:v>
                </c:pt>
                <c:pt idx="19">
                  <c:v>0</c:v>
                </c:pt>
                <c:pt idx="22">
                  <c:v>0</c:v>
                </c:pt>
                <c:pt idx="25">
                  <c:v>0</c:v>
                </c:pt>
                <c:pt idx="28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68833792"/>
        <c:axId val="168835328"/>
      </c:barChart>
      <c:catAx>
        <c:axId val="16883379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68835328"/>
        <c:crosses val="autoZero"/>
        <c:auto val="1"/>
        <c:lblAlgn val="ctr"/>
        <c:lblOffset val="100"/>
        <c:noMultiLvlLbl val="0"/>
      </c:catAx>
      <c:valAx>
        <c:axId val="1688353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ueq/L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68833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191277687904004"/>
          <c:y val="1.2584919112937746E-2"/>
          <c:w val="0.73654974875582557"/>
          <c:h val="9.142330371747860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909459446291"/>
          <c:y val="2.6085212706167381E-2"/>
          <c:w val="0.76284447605636541"/>
          <c:h val="0.81794315280278862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'[1]All data'!$BQ$2</c:f>
              <c:strCache>
                <c:ptCount val="1"/>
                <c:pt idx="0">
                  <c:v>Ca2+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'[1]All data'!$BO$19:$BO$50</c:f>
              <c:strCache>
                <c:ptCount val="31"/>
                <c:pt idx="0">
                  <c:v>Årungen</c:v>
                </c:pt>
                <c:pt idx="3">
                  <c:v>Akerselva</c:v>
                </c:pt>
                <c:pt idx="6">
                  <c:v>Sværsvann</c:v>
                </c:pt>
                <c:pt idx="9">
                  <c:v>Bogstadvannet</c:v>
                </c:pt>
                <c:pt idx="12">
                  <c:v>Lysakerelva</c:v>
                </c:pt>
                <c:pt idx="15">
                  <c:v>Østensjøvann</c:v>
                </c:pt>
                <c:pt idx="18">
                  <c:v>Gjersjøen</c:v>
                </c:pt>
                <c:pt idx="21">
                  <c:v>Maridalsvannet</c:v>
                </c:pt>
                <c:pt idx="24">
                  <c:v>Nesøytjernet</c:v>
                </c:pt>
                <c:pt idx="27">
                  <c:v>Lutvann</c:v>
                </c:pt>
                <c:pt idx="30">
                  <c:v>Kolbotntjernet</c:v>
                </c:pt>
              </c:strCache>
            </c:strRef>
          </c:cat>
          <c:val>
            <c:numRef>
              <c:f>'[1]All data'!$BQ$19:$BQ$50</c:f>
              <c:numCache>
                <c:formatCode>0</c:formatCode>
                <c:ptCount val="32"/>
                <c:pt idx="0">
                  <c:v>1249.3275662977035</c:v>
                </c:pt>
                <c:pt idx="3">
                  <c:v>464.1344049527238</c:v>
                </c:pt>
                <c:pt idx="6">
                  <c:v>271.88352409040209</c:v>
                </c:pt>
                <c:pt idx="9">
                  <c:v>302.83286164202235</c:v>
                </c:pt>
                <c:pt idx="12">
                  <c:v>421.74089610535339</c:v>
                </c:pt>
                <c:pt idx="15">
                  <c:v>1654.531163637108</c:v>
                </c:pt>
                <c:pt idx="18">
                  <c:v>1161.8206334519548</c:v>
                </c:pt>
                <c:pt idx="21">
                  <c:v>129.26137519727158</c:v>
                </c:pt>
                <c:pt idx="24" formatCode="0.0">
                  <c:v>1569.5513103341766</c:v>
                </c:pt>
                <c:pt idx="27">
                  <c:v>382.74455972646592</c:v>
                </c:pt>
                <c:pt idx="30">
                  <c:v>1406.1542349102774</c:v>
                </c:pt>
              </c:numCache>
            </c:numRef>
          </c:val>
        </c:ser>
        <c:ser>
          <c:idx val="3"/>
          <c:order val="1"/>
          <c:tx>
            <c:strRef>
              <c:f>'[1]All data'!$BR$2</c:f>
              <c:strCache>
                <c:ptCount val="1"/>
                <c:pt idx="0">
                  <c:v>Mg2+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'[1]All data'!$BO$19:$BO$50</c:f>
              <c:strCache>
                <c:ptCount val="31"/>
                <c:pt idx="0">
                  <c:v>Årungen</c:v>
                </c:pt>
                <c:pt idx="3">
                  <c:v>Akerselva</c:v>
                </c:pt>
                <c:pt idx="6">
                  <c:v>Sværsvann</c:v>
                </c:pt>
                <c:pt idx="9">
                  <c:v>Bogstadvannet</c:v>
                </c:pt>
                <c:pt idx="12">
                  <c:v>Lysakerelva</c:v>
                </c:pt>
                <c:pt idx="15">
                  <c:v>Østensjøvann</c:v>
                </c:pt>
                <c:pt idx="18">
                  <c:v>Gjersjøen</c:v>
                </c:pt>
                <c:pt idx="21">
                  <c:v>Maridalsvannet</c:v>
                </c:pt>
                <c:pt idx="24">
                  <c:v>Nesøytjernet</c:v>
                </c:pt>
                <c:pt idx="27">
                  <c:v>Lutvann</c:v>
                </c:pt>
                <c:pt idx="30">
                  <c:v>Kolbotntjernet</c:v>
                </c:pt>
              </c:strCache>
            </c:strRef>
          </c:cat>
          <c:val>
            <c:numRef>
              <c:f>'[1]All data'!$BR$19:$BR$50</c:f>
              <c:numCache>
                <c:formatCode>0.0</c:formatCode>
                <c:ptCount val="32"/>
                <c:pt idx="0">
                  <c:v>453.49622774933027</c:v>
                </c:pt>
                <c:pt idx="3">
                  <c:v>150.9570562913604</c:v>
                </c:pt>
                <c:pt idx="6">
                  <c:v>64.691693571866722</c:v>
                </c:pt>
                <c:pt idx="9" formatCode="0">
                  <c:v>45.159627849685336</c:v>
                </c:pt>
                <c:pt idx="12" formatCode="0">
                  <c:v>73.826619404587504</c:v>
                </c:pt>
                <c:pt idx="15" formatCode="0">
                  <c:v>466.97046234872317</c:v>
                </c:pt>
                <c:pt idx="18" formatCode="0">
                  <c:v>293.9822340860153</c:v>
                </c:pt>
                <c:pt idx="21">
                  <c:v>15.522682527521889</c:v>
                </c:pt>
                <c:pt idx="24">
                  <c:v>389.151183090291</c:v>
                </c:pt>
                <c:pt idx="27" formatCode="0">
                  <c:v>95.210197859841514</c:v>
                </c:pt>
                <c:pt idx="30">
                  <c:v>309.40234884165022</c:v>
                </c:pt>
              </c:numCache>
            </c:numRef>
          </c:val>
        </c:ser>
        <c:ser>
          <c:idx val="4"/>
          <c:order val="2"/>
          <c:tx>
            <c:strRef>
              <c:f>'[1]All data'!$BS$2</c:f>
              <c:strCache>
                <c:ptCount val="1"/>
                <c:pt idx="0">
                  <c:v>Na+</c:v>
                </c:pt>
              </c:strCache>
            </c:strRef>
          </c:tx>
          <c:invertIfNegative val="0"/>
          <c:cat>
            <c:strRef>
              <c:f>'[1]All data'!$BO$19:$BO$50</c:f>
              <c:strCache>
                <c:ptCount val="31"/>
                <c:pt idx="0">
                  <c:v>Årungen</c:v>
                </c:pt>
                <c:pt idx="3">
                  <c:v>Akerselva</c:v>
                </c:pt>
                <c:pt idx="6">
                  <c:v>Sværsvann</c:v>
                </c:pt>
                <c:pt idx="9">
                  <c:v>Bogstadvannet</c:v>
                </c:pt>
                <c:pt idx="12">
                  <c:v>Lysakerelva</c:v>
                </c:pt>
                <c:pt idx="15">
                  <c:v>Østensjøvann</c:v>
                </c:pt>
                <c:pt idx="18">
                  <c:v>Gjersjøen</c:v>
                </c:pt>
                <c:pt idx="21">
                  <c:v>Maridalsvannet</c:v>
                </c:pt>
                <c:pt idx="24">
                  <c:v>Nesøytjernet</c:v>
                </c:pt>
                <c:pt idx="27">
                  <c:v>Lutvann</c:v>
                </c:pt>
                <c:pt idx="30">
                  <c:v>Kolbotntjernet</c:v>
                </c:pt>
              </c:strCache>
            </c:strRef>
          </c:cat>
          <c:val>
            <c:numRef>
              <c:f>'[1]All data'!$BS$19:$BS$50</c:f>
              <c:numCache>
                <c:formatCode>0.00</c:formatCode>
                <c:ptCount val="32"/>
                <c:pt idx="0" formatCode="0.0">
                  <c:v>914.75789999890128</c:v>
                </c:pt>
                <c:pt idx="3" formatCode="0.0">
                  <c:v>535.55439243163823</c:v>
                </c:pt>
                <c:pt idx="6" formatCode="0">
                  <c:v>333.11188064302786</c:v>
                </c:pt>
                <c:pt idx="9" formatCode="0">
                  <c:v>71.458731811447109</c:v>
                </c:pt>
                <c:pt idx="12" formatCode="0">
                  <c:v>117.0823156054133</c:v>
                </c:pt>
                <c:pt idx="15" formatCode="0">
                  <c:v>865.37209221349849</c:v>
                </c:pt>
                <c:pt idx="18" formatCode="0">
                  <c:v>853.1137092147718</c:v>
                </c:pt>
                <c:pt idx="21" formatCode="0">
                  <c:v>44.38033029698353</c:v>
                </c:pt>
                <c:pt idx="24">
                  <c:v>688.4013599815454</c:v>
                </c:pt>
                <c:pt idx="27" formatCode="0">
                  <c:v>83.828499120810321</c:v>
                </c:pt>
                <c:pt idx="30" formatCode="0.0">
                  <c:v>1177.6737437304007</c:v>
                </c:pt>
              </c:numCache>
            </c:numRef>
          </c:val>
        </c:ser>
        <c:ser>
          <c:idx val="5"/>
          <c:order val="3"/>
          <c:tx>
            <c:strRef>
              <c:f>'[1]All data'!$BT$2</c:f>
              <c:strCache>
                <c:ptCount val="1"/>
                <c:pt idx="0">
                  <c:v>K+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'[1]All data'!$BO$19:$BO$50</c:f>
              <c:strCache>
                <c:ptCount val="31"/>
                <c:pt idx="0">
                  <c:v>Årungen</c:v>
                </c:pt>
                <c:pt idx="3">
                  <c:v>Akerselva</c:v>
                </c:pt>
                <c:pt idx="6">
                  <c:v>Sværsvann</c:v>
                </c:pt>
                <c:pt idx="9">
                  <c:v>Bogstadvannet</c:v>
                </c:pt>
                <c:pt idx="12">
                  <c:v>Lysakerelva</c:v>
                </c:pt>
                <c:pt idx="15">
                  <c:v>Østensjøvann</c:v>
                </c:pt>
                <c:pt idx="18">
                  <c:v>Gjersjøen</c:v>
                </c:pt>
                <c:pt idx="21">
                  <c:v>Maridalsvannet</c:v>
                </c:pt>
                <c:pt idx="24">
                  <c:v>Nesøytjernet</c:v>
                </c:pt>
                <c:pt idx="27">
                  <c:v>Lutvann</c:v>
                </c:pt>
                <c:pt idx="30">
                  <c:v>Kolbotntjernet</c:v>
                </c:pt>
              </c:strCache>
            </c:strRef>
          </c:cat>
          <c:val>
            <c:numRef>
              <c:f>'[1]All data'!$BT$19:$BT$50</c:f>
              <c:numCache>
                <c:formatCode>0.00</c:formatCode>
                <c:ptCount val="32"/>
                <c:pt idx="0">
                  <c:v>124.90022645860535</c:v>
                </c:pt>
                <c:pt idx="3">
                  <c:v>31.34580972580056</c:v>
                </c:pt>
                <c:pt idx="6">
                  <c:v>20.323223684205537</c:v>
                </c:pt>
                <c:pt idx="9" formatCode="0.0">
                  <c:v>12.13176030390896</c:v>
                </c:pt>
                <c:pt idx="12" formatCode="0.0">
                  <c:v>15.541342350423452</c:v>
                </c:pt>
                <c:pt idx="15" formatCode="0.0">
                  <c:v>93.762091824651847</c:v>
                </c:pt>
                <c:pt idx="18" formatCode="0.0">
                  <c:v>77.580352159784766</c:v>
                </c:pt>
                <c:pt idx="21">
                  <c:v>8.3033173846536528</c:v>
                </c:pt>
                <c:pt idx="24">
                  <c:v>63.287763042585624</c:v>
                </c:pt>
                <c:pt idx="27" formatCode="0.0">
                  <c:v>14.228605847811668</c:v>
                </c:pt>
                <c:pt idx="30">
                  <c:v>101.38439282045911</c:v>
                </c:pt>
              </c:numCache>
            </c:numRef>
          </c:val>
        </c:ser>
        <c:ser>
          <c:idx val="1"/>
          <c:order val="4"/>
          <c:tx>
            <c:strRef>
              <c:f>'[1]All data'!$BP$2</c:f>
              <c:strCache>
                <c:ptCount val="1"/>
                <c:pt idx="0">
                  <c:v>H+</c:v>
                </c:pt>
              </c:strCache>
            </c:strRef>
          </c:tx>
          <c:invertIfNegative val="0"/>
          <c:cat>
            <c:strRef>
              <c:f>'[1]All data'!$BO$19:$BO$50</c:f>
              <c:strCache>
                <c:ptCount val="31"/>
                <c:pt idx="0">
                  <c:v>Årungen</c:v>
                </c:pt>
                <c:pt idx="3">
                  <c:v>Akerselva</c:v>
                </c:pt>
                <c:pt idx="6">
                  <c:v>Sværsvann</c:v>
                </c:pt>
                <c:pt idx="9">
                  <c:v>Bogstadvannet</c:v>
                </c:pt>
                <c:pt idx="12">
                  <c:v>Lysakerelva</c:v>
                </c:pt>
                <c:pt idx="15">
                  <c:v>Østensjøvann</c:v>
                </c:pt>
                <c:pt idx="18">
                  <c:v>Gjersjøen</c:v>
                </c:pt>
                <c:pt idx="21">
                  <c:v>Maridalsvannet</c:v>
                </c:pt>
                <c:pt idx="24">
                  <c:v>Nesøytjernet</c:v>
                </c:pt>
                <c:pt idx="27">
                  <c:v>Lutvann</c:v>
                </c:pt>
                <c:pt idx="30">
                  <c:v>Kolbotntjernet</c:v>
                </c:pt>
              </c:strCache>
            </c:strRef>
          </c:cat>
          <c:val>
            <c:numRef>
              <c:f>'[1]All data'!$BP$19:$BP$50</c:f>
              <c:numCache>
                <c:formatCode>0.00</c:formatCode>
                <c:ptCount val="32"/>
                <c:pt idx="0">
                  <c:v>4.1686938347033513E-2</c:v>
                </c:pt>
                <c:pt idx="3">
                  <c:v>2.9512092266663778E-2</c:v>
                </c:pt>
                <c:pt idx="6">
                  <c:v>0.56234132519034874</c:v>
                </c:pt>
                <c:pt idx="9">
                  <c:v>0.14791083881682041</c:v>
                </c:pt>
                <c:pt idx="12">
                  <c:v>0.25118864315095779</c:v>
                </c:pt>
                <c:pt idx="15">
                  <c:v>5.2480746024977189E-2</c:v>
                </c:pt>
                <c:pt idx="18">
                  <c:v>3.5481338923357426E-2</c:v>
                </c:pt>
                <c:pt idx="21">
                  <c:v>0.20892961308540389</c:v>
                </c:pt>
                <c:pt idx="24">
                  <c:v>1.5848931924611134E-2</c:v>
                </c:pt>
                <c:pt idx="27">
                  <c:v>5.8884365535558779E-2</c:v>
                </c:pt>
                <c:pt idx="30">
                  <c:v>3.9810717055349568E-2</c:v>
                </c:pt>
              </c:numCache>
            </c:numRef>
          </c:val>
        </c:ser>
        <c:ser>
          <c:idx val="11"/>
          <c:order val="5"/>
          <c:tx>
            <c:strRef>
              <c:f>'[1]All data'!$BZ$2</c:f>
              <c:strCache>
                <c:ptCount val="1"/>
                <c:pt idx="0">
                  <c:v>Alkalinity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'[1]All data'!$BO$19:$BO$50</c:f>
              <c:strCache>
                <c:ptCount val="31"/>
                <c:pt idx="0">
                  <c:v>Årungen</c:v>
                </c:pt>
                <c:pt idx="3">
                  <c:v>Akerselva</c:v>
                </c:pt>
                <c:pt idx="6">
                  <c:v>Sværsvann</c:v>
                </c:pt>
                <c:pt idx="9">
                  <c:v>Bogstadvannet</c:v>
                </c:pt>
                <c:pt idx="12">
                  <c:v>Lysakerelva</c:v>
                </c:pt>
                <c:pt idx="15">
                  <c:v>Østensjøvann</c:v>
                </c:pt>
                <c:pt idx="18">
                  <c:v>Gjersjøen</c:v>
                </c:pt>
                <c:pt idx="21">
                  <c:v>Maridalsvannet</c:v>
                </c:pt>
                <c:pt idx="24">
                  <c:v>Nesøytjernet</c:v>
                </c:pt>
                <c:pt idx="27">
                  <c:v>Lutvann</c:v>
                </c:pt>
                <c:pt idx="30">
                  <c:v>Kolbotntjernet</c:v>
                </c:pt>
              </c:strCache>
            </c:strRef>
          </c:cat>
          <c:val>
            <c:numRef>
              <c:f>'[1]All data'!$BZ$19:$BZ$50</c:f>
              <c:numCache>
                <c:formatCode>0</c:formatCode>
                <c:ptCount val="32"/>
                <c:pt idx="1">
                  <c:v>885.03333935433432</c:v>
                </c:pt>
                <c:pt idx="4">
                  <c:v>110.79899835272064</c:v>
                </c:pt>
                <c:pt idx="7">
                  <c:v>190.72396207725149</c:v>
                </c:pt>
                <c:pt idx="10">
                  <c:v>210.30078665581024</c:v>
                </c:pt>
                <c:pt idx="13">
                  <c:v>315.150491258344</c:v>
                </c:pt>
                <c:pt idx="16">
                  <c:v>1345.4488349542421</c:v>
                </c:pt>
                <c:pt idx="19">
                  <c:v>710.70463796542924</c:v>
                </c:pt>
                <c:pt idx="22">
                  <c:v>80.275484903459301</c:v>
                </c:pt>
                <c:pt idx="25">
                  <c:v>1500.9347710876136</c:v>
                </c:pt>
                <c:pt idx="28">
                  <c:v>196.80765050898876</c:v>
                </c:pt>
                <c:pt idx="31">
                  <c:v>1042.613873279319</c:v>
                </c:pt>
              </c:numCache>
            </c:numRef>
          </c:val>
        </c:ser>
        <c:ser>
          <c:idx val="6"/>
          <c:order val="6"/>
          <c:tx>
            <c:strRef>
              <c:f>'[1]All data'!$BU$2</c:f>
              <c:strCache>
                <c:ptCount val="1"/>
                <c:pt idx="0">
                  <c:v>SO42-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'[1]All data'!$BO$19:$BO$50</c:f>
              <c:strCache>
                <c:ptCount val="31"/>
                <c:pt idx="0">
                  <c:v>Årungen</c:v>
                </c:pt>
                <c:pt idx="3">
                  <c:v>Akerselva</c:v>
                </c:pt>
                <c:pt idx="6">
                  <c:v>Sværsvann</c:v>
                </c:pt>
                <c:pt idx="9">
                  <c:v>Bogstadvannet</c:v>
                </c:pt>
                <c:pt idx="12">
                  <c:v>Lysakerelva</c:v>
                </c:pt>
                <c:pt idx="15">
                  <c:v>Østensjøvann</c:v>
                </c:pt>
                <c:pt idx="18">
                  <c:v>Gjersjøen</c:v>
                </c:pt>
                <c:pt idx="21">
                  <c:v>Maridalsvannet</c:v>
                </c:pt>
                <c:pt idx="24">
                  <c:v>Nesøytjernet</c:v>
                </c:pt>
                <c:pt idx="27">
                  <c:v>Lutvann</c:v>
                </c:pt>
                <c:pt idx="30">
                  <c:v>Kolbotntjernet</c:v>
                </c:pt>
              </c:strCache>
            </c:strRef>
          </c:cat>
          <c:val>
            <c:numRef>
              <c:f>'[1]All data'!$BU$19:$BU$50</c:f>
              <c:numCache>
                <c:formatCode>0.0</c:formatCode>
                <c:ptCount val="32"/>
                <c:pt idx="1">
                  <c:v>279.4694203037501</c:v>
                </c:pt>
                <c:pt idx="4" formatCode="0">
                  <c:v>140.95367723979746</c:v>
                </c:pt>
                <c:pt idx="7">
                  <c:v>55.571750129536277</c:v>
                </c:pt>
                <c:pt idx="10" formatCode="0">
                  <c:v>62.050279145016773</c:v>
                </c:pt>
                <c:pt idx="13" formatCode="0">
                  <c:v>98.831544636916732</c:v>
                </c:pt>
                <c:pt idx="16" formatCode="0">
                  <c:v>392.22092432931862</c:v>
                </c:pt>
                <c:pt idx="19" formatCode="0">
                  <c:v>370.80521221449959</c:v>
                </c:pt>
                <c:pt idx="22">
                  <c:v>42.876114277136558</c:v>
                </c:pt>
                <c:pt idx="25">
                  <c:v>149.72092421819798</c:v>
                </c:pt>
                <c:pt idx="28" formatCode="0">
                  <c:v>177.2117085205779</c:v>
                </c:pt>
                <c:pt idx="31" formatCode="0">
                  <c:v>443.39337188307553</c:v>
                </c:pt>
              </c:numCache>
            </c:numRef>
          </c:val>
        </c:ser>
        <c:ser>
          <c:idx val="7"/>
          <c:order val="7"/>
          <c:tx>
            <c:strRef>
              <c:f>'[1]All data'!$BV$2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'[1]All data'!$BO$19:$BO$50</c:f>
              <c:strCache>
                <c:ptCount val="31"/>
                <c:pt idx="0">
                  <c:v>Årungen</c:v>
                </c:pt>
                <c:pt idx="3">
                  <c:v>Akerselva</c:v>
                </c:pt>
                <c:pt idx="6">
                  <c:v>Sværsvann</c:v>
                </c:pt>
                <c:pt idx="9">
                  <c:v>Bogstadvannet</c:v>
                </c:pt>
                <c:pt idx="12">
                  <c:v>Lysakerelva</c:v>
                </c:pt>
                <c:pt idx="15">
                  <c:v>Østensjøvann</c:v>
                </c:pt>
                <c:pt idx="18">
                  <c:v>Gjersjøen</c:v>
                </c:pt>
                <c:pt idx="21">
                  <c:v>Maridalsvannet</c:v>
                </c:pt>
                <c:pt idx="24">
                  <c:v>Nesøytjernet</c:v>
                </c:pt>
                <c:pt idx="27">
                  <c:v>Lutvann</c:v>
                </c:pt>
                <c:pt idx="30">
                  <c:v>Kolbotntjernet</c:v>
                </c:pt>
              </c:strCache>
            </c:strRef>
          </c:cat>
          <c:val>
            <c:numRef>
              <c:f>'[1]All data'!$BV$19:$BV$50</c:f>
              <c:numCache>
                <c:formatCode>0.0</c:formatCode>
                <c:ptCount val="32"/>
                <c:pt idx="1">
                  <c:v>113.02145967011192</c:v>
                </c:pt>
                <c:pt idx="4">
                  <c:v>20.094584251107008</c:v>
                </c:pt>
                <c:pt idx="7">
                  <c:v>12.372140543229138</c:v>
                </c:pt>
                <c:pt idx="10">
                  <c:v>21.301952464071096</c:v>
                </c:pt>
                <c:pt idx="13">
                  <c:v>22.580694820869834</c:v>
                </c:pt>
                <c:pt idx="16">
                  <c:v>38.364176324307188</c:v>
                </c:pt>
                <c:pt idx="19">
                  <c:v>68.476355922041535</c:v>
                </c:pt>
                <c:pt idx="22">
                  <c:v>19.495707505041018</c:v>
                </c:pt>
                <c:pt idx="25">
                  <c:v>13.778463794285559</c:v>
                </c:pt>
                <c:pt idx="28">
                  <c:v>13.977359362543515</c:v>
                </c:pt>
                <c:pt idx="31">
                  <c:v>16.543371533261933</c:v>
                </c:pt>
              </c:numCache>
            </c:numRef>
          </c:val>
        </c:ser>
        <c:ser>
          <c:idx val="8"/>
          <c:order val="8"/>
          <c:tx>
            <c:strRef>
              <c:f>'[1]All data'!$BW$2</c:f>
              <c:strCache>
                <c:ptCount val="1"/>
                <c:pt idx="0">
                  <c:v>Cl-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'[1]All data'!$BO$19:$BO$50</c:f>
              <c:strCache>
                <c:ptCount val="31"/>
                <c:pt idx="0">
                  <c:v>Årungen</c:v>
                </c:pt>
                <c:pt idx="3">
                  <c:v>Akerselva</c:v>
                </c:pt>
                <c:pt idx="6">
                  <c:v>Sværsvann</c:v>
                </c:pt>
                <c:pt idx="9">
                  <c:v>Bogstadvannet</c:v>
                </c:pt>
                <c:pt idx="12">
                  <c:v>Lysakerelva</c:v>
                </c:pt>
                <c:pt idx="15">
                  <c:v>Østensjøvann</c:v>
                </c:pt>
                <c:pt idx="18">
                  <c:v>Gjersjøen</c:v>
                </c:pt>
                <c:pt idx="21">
                  <c:v>Maridalsvannet</c:v>
                </c:pt>
                <c:pt idx="24">
                  <c:v>Nesøytjernet</c:v>
                </c:pt>
                <c:pt idx="27">
                  <c:v>Lutvann</c:v>
                </c:pt>
                <c:pt idx="30">
                  <c:v>Kolbotntjernet</c:v>
                </c:pt>
              </c:strCache>
            </c:strRef>
          </c:cat>
          <c:val>
            <c:numRef>
              <c:f>'[1]All data'!$BW$19:$BW$50</c:f>
              <c:numCache>
                <c:formatCode>0.0</c:formatCode>
                <c:ptCount val="32"/>
                <c:pt idx="1">
                  <c:v>983.78169547252264</c:v>
                </c:pt>
                <c:pt idx="4">
                  <c:v>466.43887578643898</c:v>
                </c:pt>
                <c:pt idx="7" formatCode="0">
                  <c:v>309.12904511492502</c:v>
                </c:pt>
                <c:pt idx="10" formatCode="0">
                  <c:v>74.084981268839016</c:v>
                </c:pt>
                <c:pt idx="13" formatCode="0">
                  <c:v>104.5369364671419</c:v>
                </c:pt>
                <c:pt idx="16" formatCode="0">
                  <c:v>709.07492764518429</c:v>
                </c:pt>
                <c:pt idx="19" formatCode="0">
                  <c:v>881.5829104718398</c:v>
                </c:pt>
                <c:pt idx="22" formatCode="0">
                  <c:v>45.668162762036026</c:v>
                </c:pt>
                <c:pt idx="25">
                  <c:v>374.51644392192884</c:v>
                </c:pt>
                <c:pt idx="28" formatCode="0">
                  <c:v>76.051344573766841</c:v>
                </c:pt>
                <c:pt idx="31">
                  <c:v>1182.8447303508256</c:v>
                </c:pt>
              </c:numCache>
            </c:numRef>
          </c:val>
        </c:ser>
        <c:ser>
          <c:idx val="9"/>
          <c:order val="9"/>
          <c:tx>
            <c:strRef>
              <c:f>'[1]All data'!$BX$2</c:f>
              <c:strCache>
                <c:ptCount val="1"/>
                <c:pt idx="0">
                  <c:v>Tot-F</c:v>
                </c:pt>
              </c:strCache>
            </c:strRef>
          </c:tx>
          <c:invertIfNegative val="0"/>
          <c:cat>
            <c:strRef>
              <c:f>'[1]All data'!$BO$19:$BO$50</c:f>
              <c:strCache>
                <c:ptCount val="31"/>
                <c:pt idx="0">
                  <c:v>Årungen</c:v>
                </c:pt>
                <c:pt idx="3">
                  <c:v>Akerselva</c:v>
                </c:pt>
                <c:pt idx="6">
                  <c:v>Sværsvann</c:v>
                </c:pt>
                <c:pt idx="9">
                  <c:v>Bogstadvannet</c:v>
                </c:pt>
                <c:pt idx="12">
                  <c:v>Lysakerelva</c:v>
                </c:pt>
                <c:pt idx="15">
                  <c:v>Østensjøvann</c:v>
                </c:pt>
                <c:pt idx="18">
                  <c:v>Gjersjøen</c:v>
                </c:pt>
                <c:pt idx="21">
                  <c:v>Maridalsvannet</c:v>
                </c:pt>
                <c:pt idx="24">
                  <c:v>Nesøytjernet</c:v>
                </c:pt>
                <c:pt idx="27">
                  <c:v>Lutvann</c:v>
                </c:pt>
                <c:pt idx="30">
                  <c:v>Kolbotntjernet</c:v>
                </c:pt>
              </c:strCache>
            </c:strRef>
          </c:cat>
          <c:val>
            <c:numRef>
              <c:f>'[1]All data'!$BX$19:$BX$47</c:f>
              <c:numCache>
                <c:formatCode>0.0</c:formatCode>
                <c:ptCount val="29"/>
                <c:pt idx="1">
                  <c:v>12.943055541371958</c:v>
                </c:pt>
                <c:pt idx="4">
                  <c:v>4.5810414681776477</c:v>
                </c:pt>
                <c:pt idx="7">
                  <c:v>3.2991503956156878</c:v>
                </c:pt>
                <c:pt idx="10">
                  <c:v>4.1231549006771813</c:v>
                </c:pt>
                <c:pt idx="13">
                  <c:v>4.3760855852845566</c:v>
                </c:pt>
                <c:pt idx="16">
                  <c:v>7.3025829958268194</c:v>
                </c:pt>
                <c:pt idx="19">
                  <c:v>7.9284829702419604</c:v>
                </c:pt>
                <c:pt idx="22">
                  <c:v>3.5626360733597537</c:v>
                </c:pt>
                <c:pt idx="25">
                  <c:v>3.5946633654655851</c:v>
                </c:pt>
                <c:pt idx="28">
                  <c:v>3.1395794496116567</c:v>
                </c:pt>
              </c:numCache>
            </c:numRef>
          </c:val>
        </c:ser>
        <c:ser>
          <c:idx val="10"/>
          <c:order val="10"/>
          <c:tx>
            <c:strRef>
              <c:f>'[1]All data'!$BY$2</c:f>
              <c:strCache>
                <c:ptCount val="1"/>
                <c:pt idx="0">
                  <c:v>PO43-</c:v>
                </c:pt>
              </c:strCache>
            </c:strRef>
          </c:tx>
          <c:invertIfNegative val="0"/>
          <c:cat>
            <c:strRef>
              <c:f>'[1]All data'!$BO$19:$BO$50</c:f>
              <c:strCache>
                <c:ptCount val="31"/>
                <c:pt idx="0">
                  <c:v>Årungen</c:v>
                </c:pt>
                <c:pt idx="3">
                  <c:v>Akerselva</c:v>
                </c:pt>
                <c:pt idx="6">
                  <c:v>Sværsvann</c:v>
                </c:pt>
                <c:pt idx="9">
                  <c:v>Bogstadvannet</c:v>
                </c:pt>
                <c:pt idx="12">
                  <c:v>Lysakerelva</c:v>
                </c:pt>
                <c:pt idx="15">
                  <c:v>Østensjøvann</c:v>
                </c:pt>
                <c:pt idx="18">
                  <c:v>Gjersjøen</c:v>
                </c:pt>
                <c:pt idx="21">
                  <c:v>Maridalsvannet</c:v>
                </c:pt>
                <c:pt idx="24">
                  <c:v>Nesøytjernet</c:v>
                </c:pt>
                <c:pt idx="27">
                  <c:v>Lutvann</c:v>
                </c:pt>
                <c:pt idx="30">
                  <c:v>Kolbotntjernet</c:v>
                </c:pt>
              </c:strCache>
            </c:strRef>
          </c:cat>
          <c:val>
            <c:numRef>
              <c:f>'[1]All data'!$BY$19:$BY$47</c:f>
              <c:numCache>
                <c:formatCode>0.0</c:formatCode>
                <c:ptCount val="29"/>
                <c:pt idx="1">
                  <c:v>0.51425733846282995</c:v>
                </c:pt>
                <c:pt idx="4">
                  <c:v>1.8425905167319754</c:v>
                </c:pt>
                <c:pt idx="7">
                  <c:v>6.3125315654440697E-2</c:v>
                </c:pt>
                <c:pt idx="10">
                  <c:v>6.3125315654440697E-2</c:v>
                </c:pt>
                <c:pt idx="13">
                  <c:v>0.13831398612250556</c:v>
                </c:pt>
                <c:pt idx="16">
                  <c:v>2.9704205737529485</c:v>
                </c:pt>
                <c:pt idx="19">
                  <c:v>0.13831398612250556</c:v>
                </c:pt>
                <c:pt idx="22">
                  <c:v>1.2999535342397457E-2</c:v>
                </c:pt>
                <c:pt idx="25">
                  <c:v>1.2999535342397457E-2</c:v>
                </c:pt>
                <c:pt idx="28">
                  <c:v>0</c:v>
                </c:pt>
              </c:numCache>
            </c:numRef>
          </c:val>
        </c:ser>
        <c:ser>
          <c:idx val="0"/>
          <c:order val="11"/>
          <c:tx>
            <c:strRef>
              <c:f>'[1]All data'!$BM$2</c:f>
              <c:strCache>
                <c:ptCount val="1"/>
                <c:pt idx="0">
                  <c:v>Org. charge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'[1]All data'!$BO$19:$BO$50</c:f>
              <c:strCache>
                <c:ptCount val="31"/>
                <c:pt idx="0">
                  <c:v>Årungen</c:v>
                </c:pt>
                <c:pt idx="3">
                  <c:v>Akerselva</c:v>
                </c:pt>
                <c:pt idx="6">
                  <c:v>Sværsvann</c:v>
                </c:pt>
                <c:pt idx="9">
                  <c:v>Bogstadvannet</c:v>
                </c:pt>
                <c:pt idx="12">
                  <c:v>Lysakerelva</c:v>
                </c:pt>
                <c:pt idx="15">
                  <c:v>Østensjøvann</c:v>
                </c:pt>
                <c:pt idx="18">
                  <c:v>Gjersjøen</c:v>
                </c:pt>
                <c:pt idx="21">
                  <c:v>Maridalsvannet</c:v>
                </c:pt>
                <c:pt idx="24">
                  <c:v>Nesøytjernet</c:v>
                </c:pt>
                <c:pt idx="27">
                  <c:v>Lutvann</c:v>
                </c:pt>
                <c:pt idx="30">
                  <c:v>Kolbotntjernet</c:v>
                </c:pt>
              </c:strCache>
            </c:strRef>
          </c:cat>
          <c:val>
            <c:numRef>
              <c:f>'[1]All data'!$CA$19:$CA$50</c:f>
              <c:numCache>
                <c:formatCode>0.0</c:formatCode>
                <c:ptCount val="32"/>
                <c:pt idx="1">
                  <c:v>0</c:v>
                </c:pt>
                <c:pt idx="4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6">
                  <c:v>0</c:v>
                </c:pt>
                <c:pt idx="19">
                  <c:v>0</c:v>
                </c:pt>
                <c:pt idx="22">
                  <c:v>0</c:v>
                </c:pt>
                <c:pt idx="25">
                  <c:v>0</c:v>
                </c:pt>
                <c:pt idx="28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68975744"/>
        <c:axId val="168981632"/>
      </c:barChart>
      <c:catAx>
        <c:axId val="16897574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68981632"/>
        <c:crosses val="autoZero"/>
        <c:auto val="1"/>
        <c:lblAlgn val="ctr"/>
        <c:lblOffset val="100"/>
        <c:noMultiLvlLbl val="0"/>
      </c:catAx>
      <c:valAx>
        <c:axId val="1689816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68975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424079303942739"/>
          <c:y val="8.3069494090950616E-2"/>
          <c:w val="9.5759236179133428E-2"/>
          <c:h val="0.6601936790321154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909459446291"/>
          <c:y val="2.6085212706167381E-2"/>
          <c:w val="0.849768136843712"/>
          <c:h val="0.8179431528027886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'All data'!$BJ$2</c:f>
              <c:strCache>
                <c:ptCount val="1"/>
                <c:pt idx="0">
                  <c:v>Ca2+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data'!$BJ$19:$BJ$50</c:f>
              <c:numCache>
                <c:formatCode>0</c:formatCode>
                <c:ptCount val="32"/>
                <c:pt idx="0">
                  <c:v>143.6952941763561</c:v>
                </c:pt>
                <c:pt idx="3">
                  <c:v>251.67722940266481</c:v>
                </c:pt>
                <c:pt idx="6">
                  <c:v>245.22930285942414</c:v>
                </c:pt>
                <c:pt idx="9">
                  <c:v>1421.3184290633264</c:v>
                </c:pt>
                <c:pt idx="12">
                  <c:v>918.02485153949783</c:v>
                </c:pt>
                <c:pt idx="15">
                  <c:v>902.83946304705808</c:v>
                </c:pt>
                <c:pt idx="18">
                  <c:v>1112.7850691152253</c:v>
                </c:pt>
                <c:pt idx="21">
                  <c:v>225.99481012026547</c:v>
                </c:pt>
                <c:pt idx="24" formatCode="0.0">
                  <c:v>95.741304456310189</c:v>
                </c:pt>
                <c:pt idx="27">
                  <c:v>1149.4086531264034</c:v>
                </c:pt>
                <c:pt idx="30">
                  <c:v>273.70327860671688</c:v>
                </c:pt>
              </c:numCache>
            </c:numRef>
          </c:val>
        </c:ser>
        <c:ser>
          <c:idx val="3"/>
          <c:order val="1"/>
          <c:tx>
            <c:strRef>
              <c:f>'All data'!$BK$2</c:f>
              <c:strCache>
                <c:ptCount val="1"/>
                <c:pt idx="0">
                  <c:v>Mg2+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data'!$BK$19:$BK$50</c:f>
              <c:numCache>
                <c:formatCode>0.0</c:formatCode>
                <c:ptCount val="32"/>
                <c:pt idx="0">
                  <c:v>53.827739387956562</c:v>
                </c:pt>
                <c:pt idx="3">
                  <c:v>82.999341888779199</c:v>
                </c:pt>
                <c:pt idx="6">
                  <c:v>74.392810134912793</c:v>
                </c:pt>
                <c:pt idx="9" formatCode="0">
                  <c:v>433.53158933859822</c:v>
                </c:pt>
                <c:pt idx="12" formatCode="0">
                  <c:v>340.93205001645276</c:v>
                </c:pt>
                <c:pt idx="15" formatCode="0">
                  <c:v>231.94389601842713</c:v>
                </c:pt>
                <c:pt idx="18" formatCode="0">
                  <c:v>251.12948338269163</c:v>
                </c:pt>
                <c:pt idx="21">
                  <c:v>63.006581112207954</c:v>
                </c:pt>
                <c:pt idx="24">
                  <c:v>25.508144126357351</c:v>
                </c:pt>
                <c:pt idx="27" formatCode="0">
                  <c:v>308.51678183613029</c:v>
                </c:pt>
                <c:pt idx="30">
                  <c:v>76.878331688055269</c:v>
                </c:pt>
              </c:numCache>
            </c:numRef>
          </c:val>
        </c:ser>
        <c:ser>
          <c:idx val="4"/>
          <c:order val="2"/>
          <c:tx>
            <c:strRef>
              <c:f>'All data'!$BL$2</c:f>
              <c:strCache>
                <c:ptCount val="1"/>
                <c:pt idx="0">
                  <c:v>Na+</c:v>
                </c:pt>
              </c:strCache>
            </c:strRef>
          </c:tx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data'!$BL$19:$BL$50</c:f>
              <c:numCache>
                <c:formatCode>0.00</c:formatCode>
                <c:ptCount val="32"/>
                <c:pt idx="0" formatCode="0.0">
                  <c:v>45.622009569377994</c:v>
                </c:pt>
                <c:pt idx="3" formatCode="0.0">
                  <c:v>67.407133536320146</c:v>
                </c:pt>
                <c:pt idx="6" formatCode="0">
                  <c:v>327.62374945628534</c:v>
                </c:pt>
                <c:pt idx="9" formatCode="0">
                  <c:v>695.06742061765988</c:v>
                </c:pt>
                <c:pt idx="12" formatCode="0">
                  <c:v>795.0369725967812</c:v>
                </c:pt>
                <c:pt idx="15" formatCode="0">
                  <c:v>793.64941278816877</c:v>
                </c:pt>
                <c:pt idx="18" formatCode="0">
                  <c:v>1099.4649847759897</c:v>
                </c:pt>
                <c:pt idx="21" formatCode="0">
                  <c:v>160.77163984341018</c:v>
                </c:pt>
                <c:pt idx="24">
                  <c:v>5.6416702914310575</c:v>
                </c:pt>
                <c:pt idx="27" formatCode="0">
                  <c:v>565.77642453240537</c:v>
                </c:pt>
                <c:pt idx="30" formatCode="0.0">
                  <c:v>36.90561113527621</c:v>
                </c:pt>
              </c:numCache>
            </c:numRef>
          </c:val>
        </c:ser>
        <c:ser>
          <c:idx val="5"/>
          <c:order val="3"/>
          <c:tx>
            <c:strRef>
              <c:f>'All data'!$BM$2</c:f>
              <c:strCache>
                <c:ptCount val="1"/>
                <c:pt idx="0">
                  <c:v>K+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data'!$BM$19:$BM$50</c:f>
              <c:numCache>
                <c:formatCode>0.00</c:formatCode>
                <c:ptCount val="32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 formatCode="0.0">
                  <c:v>66.466165413533844</c:v>
                </c:pt>
                <c:pt idx="12" formatCode="0.0">
                  <c:v>69.06015037593987</c:v>
                </c:pt>
                <c:pt idx="15" formatCode="0.0">
                  <c:v>44.33967571991203</c:v>
                </c:pt>
                <c:pt idx="18" formatCode="0.0">
                  <c:v>70.885888189862428</c:v>
                </c:pt>
                <c:pt idx="21">
                  <c:v>0</c:v>
                </c:pt>
                <c:pt idx="24">
                  <c:v>0</c:v>
                </c:pt>
                <c:pt idx="27" formatCode="0.0">
                  <c:v>30.132729783642784</c:v>
                </c:pt>
                <c:pt idx="30">
                  <c:v>0</c:v>
                </c:pt>
              </c:numCache>
            </c:numRef>
          </c:val>
        </c:ser>
        <c:ser>
          <c:idx val="1"/>
          <c:order val="4"/>
          <c:tx>
            <c:strRef>
              <c:f>'All data'!$BI$2</c:f>
              <c:strCache>
                <c:ptCount val="1"/>
                <c:pt idx="0">
                  <c:v>H+</c:v>
                </c:pt>
              </c:strCache>
            </c:strRef>
          </c:tx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data'!$BI$19:$BI$50</c:f>
              <c:numCache>
                <c:formatCode>0.00</c:formatCode>
                <c:ptCount val="32"/>
                <c:pt idx="0">
                  <c:v>0.25118864315095779</c:v>
                </c:pt>
                <c:pt idx="3">
                  <c:v>0.41686938347033492</c:v>
                </c:pt>
                <c:pt idx="6">
                  <c:v>0.40738027780411229</c:v>
                </c:pt>
                <c:pt idx="9">
                  <c:v>7.7624711662868925E-2</c:v>
                </c:pt>
                <c:pt idx="12">
                  <c:v>3.4673685045253172E-2</c:v>
                </c:pt>
                <c:pt idx="15">
                  <c:v>3.0199517204020188E-2</c:v>
                </c:pt>
                <c:pt idx="18">
                  <c:v>4.0738027780411253E-2</c:v>
                </c:pt>
                <c:pt idx="21">
                  <c:v>0.1659586907437556</c:v>
                </c:pt>
                <c:pt idx="24">
                  <c:v>7.5857757502918149E-2</c:v>
                </c:pt>
                <c:pt idx="27">
                  <c:v>5.3703179637025322E-3</c:v>
                </c:pt>
                <c:pt idx="30">
                  <c:v>0.31622776601683733</c:v>
                </c:pt>
              </c:numCache>
            </c:numRef>
          </c:val>
        </c:ser>
        <c:ser>
          <c:idx val="11"/>
          <c:order val="5"/>
          <c:tx>
            <c:strRef>
              <c:f>'All data'!$BS$2</c:f>
              <c:strCache>
                <c:ptCount val="1"/>
                <c:pt idx="0">
                  <c:v>HCO3-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data'!$BS$19:$BS$50</c:f>
              <c:numCache>
                <c:formatCode>0</c:formatCode>
                <c:ptCount val="32"/>
                <c:pt idx="1">
                  <c:v>281.96105631181916</c:v>
                </c:pt>
                <c:pt idx="4">
                  <c:v>221.61650706456305</c:v>
                </c:pt>
                <c:pt idx="7">
                  <c:v>954.26209784308276</c:v>
                </c:pt>
                <c:pt idx="10">
                  <c:v>1936.6410026827191</c:v>
                </c:pt>
                <c:pt idx="13">
                  <c:v>944.15128036642182</c:v>
                </c:pt>
                <c:pt idx="16">
                  <c:v>825.2366292308202</c:v>
                </c:pt>
                <c:pt idx="19">
                  <c:v>1155.7939535267312</c:v>
                </c:pt>
                <c:pt idx="22">
                  <c:v>225.70731474037734</c:v>
                </c:pt>
                <c:pt idx="25">
                  <c:v>95.471443350449164</c:v>
                </c:pt>
                <c:pt idx="28">
                  <c:v>1710.0053164167766</c:v>
                </c:pt>
                <c:pt idx="31">
                  <c:v>241.89445370529103</c:v>
                </c:pt>
              </c:numCache>
            </c:numRef>
          </c:val>
        </c:ser>
        <c:ser>
          <c:idx val="6"/>
          <c:order val="6"/>
          <c:tx>
            <c:strRef>
              <c:f>'All data'!$BN$2</c:f>
              <c:strCache>
                <c:ptCount val="1"/>
                <c:pt idx="0">
                  <c:v>SO42-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data'!$BN$19:$BN$50</c:f>
              <c:numCache>
                <c:formatCode>0.0</c:formatCode>
                <c:ptCount val="32"/>
                <c:pt idx="1">
                  <c:v>49.480821892211871</c:v>
                </c:pt>
                <c:pt idx="4" formatCode="0">
                  <c:v>100.10462210786241</c:v>
                </c:pt>
                <c:pt idx="7">
                  <c:v>55.60187943892879</c:v>
                </c:pt>
                <c:pt idx="10" formatCode="0">
                  <c:v>369.33701827198752</c:v>
                </c:pt>
                <c:pt idx="13" formatCode="0">
                  <c:v>332.18261227149611</c:v>
                </c:pt>
                <c:pt idx="16" formatCode="0">
                  <c:v>408.94083080047886</c:v>
                </c:pt>
                <c:pt idx="19" formatCode="0">
                  <c:v>491.10600886402187</c:v>
                </c:pt>
                <c:pt idx="22">
                  <c:v>95.274303450470228</c:v>
                </c:pt>
                <c:pt idx="25">
                  <c:v>42.559375099538507</c:v>
                </c:pt>
                <c:pt idx="28" formatCode="0">
                  <c:v>168.43158996374322</c:v>
                </c:pt>
                <c:pt idx="31" formatCode="0">
                  <c:v>185.48294851499756</c:v>
                </c:pt>
              </c:numCache>
            </c:numRef>
          </c:val>
        </c:ser>
        <c:ser>
          <c:idx val="7"/>
          <c:order val="7"/>
          <c:tx>
            <c:strRef>
              <c:f>'All data'!$BO$2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data'!$BO$19:$BO$50</c:f>
              <c:numCache>
                <c:formatCode>0.0</c:formatCode>
                <c:ptCount val="32"/>
                <c:pt idx="1">
                  <c:v>5.0734023127262207</c:v>
                </c:pt>
                <c:pt idx="4">
                  <c:v>6.7958665448952162</c:v>
                </c:pt>
                <c:pt idx="7">
                  <c:v>5.3178850800380157</c:v>
                </c:pt>
                <c:pt idx="10">
                  <c:v>19.673549839476511</c:v>
                </c:pt>
                <c:pt idx="13">
                  <c:v>92.552969827987596</c:v>
                </c:pt>
                <c:pt idx="16">
                  <c:v>54.388255320920337</c:v>
                </c:pt>
                <c:pt idx="19">
                  <c:v>6.389267685656896</c:v>
                </c:pt>
                <c:pt idx="22">
                  <c:v>10.48281447410357</c:v>
                </c:pt>
                <c:pt idx="25">
                  <c:v>8.4695265974434051</c:v>
                </c:pt>
                <c:pt idx="28">
                  <c:v>3.2254578940662864</c:v>
                </c:pt>
                <c:pt idx="31">
                  <c:v>5.9007640202410734</c:v>
                </c:pt>
              </c:numCache>
            </c:numRef>
          </c:val>
        </c:ser>
        <c:ser>
          <c:idx val="8"/>
          <c:order val="8"/>
          <c:tx>
            <c:strRef>
              <c:f>'All data'!$BP$2</c:f>
              <c:strCache>
                <c:ptCount val="1"/>
                <c:pt idx="0">
                  <c:v>Cl-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data'!$BP$19:$BP$50</c:f>
              <c:numCache>
                <c:formatCode>0.0</c:formatCode>
                <c:ptCount val="32"/>
                <c:pt idx="1">
                  <c:v>89.938726490472519</c:v>
                </c:pt>
                <c:pt idx="4">
                  <c:v>95.127004575057242</c:v>
                </c:pt>
                <c:pt idx="7" formatCode="0">
                  <c:v>374.0111189074662</c:v>
                </c:pt>
                <c:pt idx="10" formatCode="0">
                  <c:v>586.70436538593685</c:v>
                </c:pt>
                <c:pt idx="13" formatCode="0">
                  <c:v>927.96246277068872</c:v>
                </c:pt>
                <c:pt idx="16" formatCode="0">
                  <c:v>945.32152930440861</c:v>
                </c:pt>
                <c:pt idx="19" formatCode="0">
                  <c:v>1247.732492612043</c:v>
                </c:pt>
                <c:pt idx="22" formatCode="0">
                  <c:v>217.88788894383362</c:v>
                </c:pt>
                <c:pt idx="25">
                  <c:v>51.583306216027864</c:v>
                </c:pt>
                <c:pt idx="28" formatCode="0">
                  <c:v>407.19831325594726</c:v>
                </c:pt>
                <c:pt idx="31">
                  <c:v>81.512896621800195</c:v>
                </c:pt>
              </c:numCache>
            </c:numRef>
          </c:val>
        </c:ser>
        <c:ser>
          <c:idx val="9"/>
          <c:order val="9"/>
          <c:tx>
            <c:strRef>
              <c:f>'All data'!$BQ$2</c:f>
              <c:strCache>
                <c:ptCount val="1"/>
                <c:pt idx="0">
                  <c:v>Tot-F</c:v>
                </c:pt>
              </c:strCache>
            </c:strRef>
          </c:tx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data'!$BQ$19:$BQ$47</c:f>
              <c:numCache>
                <c:formatCode>0.0</c:formatCode>
                <c:ptCount val="29"/>
                <c:pt idx="1">
                  <c:v>4.0823011140951619</c:v>
                </c:pt>
                <c:pt idx="4">
                  <c:v>5.3480554396150985</c:v>
                </c:pt>
                <c:pt idx="7">
                  <c:v>4.4519013771469833</c:v>
                </c:pt>
                <c:pt idx="10">
                  <c:v>9.3757830691368831</c:v>
                </c:pt>
                <c:pt idx="13">
                  <c:v>15.674176592924082</c:v>
                </c:pt>
                <c:pt idx="16">
                  <c:v>9.4477363342568239</c:v>
                </c:pt>
                <c:pt idx="19">
                  <c:v>8.2723373944355405</c:v>
                </c:pt>
                <c:pt idx="22">
                  <c:v>5.2346243789050417</c:v>
                </c:pt>
                <c:pt idx="25">
                  <c:v>4.3166603957510459</c:v>
                </c:pt>
                <c:pt idx="28">
                  <c:v>4.268951194250679</c:v>
                </c:pt>
              </c:numCache>
            </c:numRef>
          </c:val>
        </c:ser>
        <c:ser>
          <c:idx val="10"/>
          <c:order val="10"/>
          <c:tx>
            <c:strRef>
              <c:f>'All data'!$BR$2</c:f>
              <c:strCache>
                <c:ptCount val="1"/>
                <c:pt idx="0">
                  <c:v>PO43-</c:v>
                </c:pt>
              </c:strCache>
            </c:strRef>
          </c:tx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data'!$BR$19:$BR$47</c:f>
              <c:numCache>
                <c:formatCode>0.0</c:formatCode>
                <c:ptCount val="29"/>
                <c:pt idx="1">
                  <c:v>0.48433968356474005</c:v>
                </c:pt>
                <c:pt idx="4">
                  <c:v>0.48433968356474005</c:v>
                </c:pt>
                <c:pt idx="7">
                  <c:v>0.38747174685179209</c:v>
                </c:pt>
                <c:pt idx="10">
                  <c:v>4.2621892153697125</c:v>
                </c:pt>
                <c:pt idx="13">
                  <c:v>0.58120762027768813</c:v>
                </c:pt>
                <c:pt idx="16">
                  <c:v>0.38747174685179209</c:v>
                </c:pt>
                <c:pt idx="19">
                  <c:v>0.29060381013884407</c:v>
                </c:pt>
                <c:pt idx="22">
                  <c:v>0.29060381013884407</c:v>
                </c:pt>
                <c:pt idx="25">
                  <c:v>0.19373587342589604</c:v>
                </c:pt>
                <c:pt idx="28">
                  <c:v>0.19373587342589604</c:v>
                </c:pt>
              </c:numCache>
            </c:numRef>
          </c:val>
        </c:ser>
        <c:ser>
          <c:idx val="0"/>
          <c:order val="11"/>
          <c:tx>
            <c:strRef>
              <c:f>'All data'!$BE$2</c:f>
              <c:strCache>
                <c:ptCount val="1"/>
                <c:pt idx="0">
                  <c:v>Org. charge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data'!$BT$19:$BT$50</c:f>
              <c:numCache>
                <c:formatCode>0.0</c:formatCode>
                <c:ptCount val="32"/>
                <c:pt idx="1">
                  <c:v>54.052380658592611</c:v>
                </c:pt>
                <c:pt idx="4">
                  <c:v>38.40159615439196</c:v>
                </c:pt>
                <c:pt idx="7">
                  <c:v>25.794857515168601</c:v>
                </c:pt>
                <c:pt idx="10">
                  <c:v>23.285876006369893</c:v>
                </c:pt>
                <c:pt idx="13">
                  <c:v>25.251822554650722</c:v>
                </c:pt>
                <c:pt idx="16">
                  <c:v>26.098982669698081</c:v>
                </c:pt>
                <c:pt idx="19">
                  <c:v>21.775407188738708</c:v>
                </c:pt>
                <c:pt idx="22">
                  <c:v>11.956656484975232</c:v>
                </c:pt>
                <c:pt idx="25">
                  <c:v>13.206561722033289</c:v>
                </c:pt>
                <c:pt idx="28">
                  <c:v>33.764839890150554</c:v>
                </c:pt>
                <c:pt idx="31">
                  <c:v>3.9480040487591719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67332864"/>
        <c:axId val="167335040"/>
      </c:barChart>
      <c:catAx>
        <c:axId val="16733286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67335040"/>
        <c:crosses val="autoZero"/>
        <c:auto val="1"/>
        <c:lblAlgn val="ctr"/>
        <c:lblOffset val="100"/>
        <c:noMultiLvlLbl val="0"/>
      </c:catAx>
      <c:valAx>
        <c:axId val="1673350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ueq/L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67332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191277687904004"/>
          <c:y val="1.2584919112937746E-2"/>
          <c:w val="0.73654974875582557"/>
          <c:h val="9.142330371747860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909459446291"/>
          <c:y val="2.6085212706167381E-2"/>
          <c:w val="0.76284447605636541"/>
          <c:h val="0.81794315280278862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'All data'!$BJ$2</c:f>
              <c:strCache>
                <c:ptCount val="1"/>
                <c:pt idx="0">
                  <c:v>Ca2+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data'!$BJ$19:$BJ$50</c:f>
              <c:numCache>
                <c:formatCode>0</c:formatCode>
                <c:ptCount val="32"/>
                <c:pt idx="0">
                  <c:v>143.6952941763561</c:v>
                </c:pt>
                <c:pt idx="3">
                  <c:v>251.67722940266481</c:v>
                </c:pt>
                <c:pt idx="6">
                  <c:v>245.22930285942414</c:v>
                </c:pt>
                <c:pt idx="9">
                  <c:v>1421.3184290633264</c:v>
                </c:pt>
                <c:pt idx="12">
                  <c:v>918.02485153949783</c:v>
                </c:pt>
                <c:pt idx="15">
                  <c:v>902.83946304705808</c:v>
                </c:pt>
                <c:pt idx="18">
                  <c:v>1112.7850691152253</c:v>
                </c:pt>
                <c:pt idx="21">
                  <c:v>225.99481012026547</c:v>
                </c:pt>
                <c:pt idx="24" formatCode="0.0">
                  <c:v>95.741304456310189</c:v>
                </c:pt>
                <c:pt idx="27">
                  <c:v>1149.4086531264034</c:v>
                </c:pt>
                <c:pt idx="30">
                  <c:v>273.70327860671688</c:v>
                </c:pt>
              </c:numCache>
            </c:numRef>
          </c:val>
        </c:ser>
        <c:ser>
          <c:idx val="3"/>
          <c:order val="1"/>
          <c:tx>
            <c:strRef>
              <c:f>'All data'!$BK$2</c:f>
              <c:strCache>
                <c:ptCount val="1"/>
                <c:pt idx="0">
                  <c:v>Mg2+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data'!$BK$19:$BK$50</c:f>
              <c:numCache>
                <c:formatCode>0.0</c:formatCode>
                <c:ptCount val="32"/>
                <c:pt idx="0">
                  <c:v>53.827739387956562</c:v>
                </c:pt>
                <c:pt idx="3">
                  <c:v>82.999341888779199</c:v>
                </c:pt>
                <c:pt idx="6">
                  <c:v>74.392810134912793</c:v>
                </c:pt>
                <c:pt idx="9" formatCode="0">
                  <c:v>433.53158933859822</c:v>
                </c:pt>
                <c:pt idx="12" formatCode="0">
                  <c:v>340.93205001645276</c:v>
                </c:pt>
                <c:pt idx="15" formatCode="0">
                  <c:v>231.94389601842713</c:v>
                </c:pt>
                <c:pt idx="18" formatCode="0">
                  <c:v>251.12948338269163</c:v>
                </c:pt>
                <c:pt idx="21">
                  <c:v>63.006581112207954</c:v>
                </c:pt>
                <c:pt idx="24">
                  <c:v>25.508144126357351</c:v>
                </c:pt>
                <c:pt idx="27" formatCode="0">
                  <c:v>308.51678183613029</c:v>
                </c:pt>
                <c:pt idx="30">
                  <c:v>76.878331688055269</c:v>
                </c:pt>
              </c:numCache>
            </c:numRef>
          </c:val>
        </c:ser>
        <c:ser>
          <c:idx val="4"/>
          <c:order val="2"/>
          <c:tx>
            <c:strRef>
              <c:f>'All data'!$BL$2</c:f>
              <c:strCache>
                <c:ptCount val="1"/>
                <c:pt idx="0">
                  <c:v>Na+</c:v>
                </c:pt>
              </c:strCache>
            </c:strRef>
          </c:tx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data'!$BL$19:$BL$50</c:f>
              <c:numCache>
                <c:formatCode>0.00</c:formatCode>
                <c:ptCount val="32"/>
                <c:pt idx="0" formatCode="0.0">
                  <c:v>45.622009569377994</c:v>
                </c:pt>
                <c:pt idx="3" formatCode="0.0">
                  <c:v>67.407133536320146</c:v>
                </c:pt>
                <c:pt idx="6" formatCode="0">
                  <c:v>327.62374945628534</c:v>
                </c:pt>
                <c:pt idx="9" formatCode="0">
                  <c:v>695.06742061765988</c:v>
                </c:pt>
                <c:pt idx="12" formatCode="0">
                  <c:v>795.0369725967812</c:v>
                </c:pt>
                <c:pt idx="15" formatCode="0">
                  <c:v>793.64941278816877</c:v>
                </c:pt>
                <c:pt idx="18" formatCode="0">
                  <c:v>1099.4649847759897</c:v>
                </c:pt>
                <c:pt idx="21" formatCode="0">
                  <c:v>160.77163984341018</c:v>
                </c:pt>
                <c:pt idx="24">
                  <c:v>5.6416702914310575</c:v>
                </c:pt>
                <c:pt idx="27" formatCode="0">
                  <c:v>565.77642453240537</c:v>
                </c:pt>
                <c:pt idx="30" formatCode="0.0">
                  <c:v>36.90561113527621</c:v>
                </c:pt>
              </c:numCache>
            </c:numRef>
          </c:val>
        </c:ser>
        <c:ser>
          <c:idx val="5"/>
          <c:order val="3"/>
          <c:tx>
            <c:strRef>
              <c:f>'All data'!$BM$2</c:f>
              <c:strCache>
                <c:ptCount val="1"/>
                <c:pt idx="0">
                  <c:v>K+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data'!$BM$19:$BM$50</c:f>
              <c:numCache>
                <c:formatCode>0.00</c:formatCode>
                <c:ptCount val="32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 formatCode="0.0">
                  <c:v>66.466165413533844</c:v>
                </c:pt>
                <c:pt idx="12" formatCode="0.0">
                  <c:v>69.06015037593987</c:v>
                </c:pt>
                <c:pt idx="15" formatCode="0.0">
                  <c:v>44.33967571991203</c:v>
                </c:pt>
                <c:pt idx="18" formatCode="0.0">
                  <c:v>70.885888189862428</c:v>
                </c:pt>
                <c:pt idx="21">
                  <c:v>0</c:v>
                </c:pt>
                <c:pt idx="24">
                  <c:v>0</c:v>
                </c:pt>
                <c:pt idx="27" formatCode="0.0">
                  <c:v>30.132729783642784</c:v>
                </c:pt>
                <c:pt idx="30">
                  <c:v>0</c:v>
                </c:pt>
              </c:numCache>
            </c:numRef>
          </c:val>
        </c:ser>
        <c:ser>
          <c:idx val="1"/>
          <c:order val="4"/>
          <c:tx>
            <c:strRef>
              <c:f>'All data'!$BI$2</c:f>
              <c:strCache>
                <c:ptCount val="1"/>
                <c:pt idx="0">
                  <c:v>H+</c:v>
                </c:pt>
              </c:strCache>
            </c:strRef>
          </c:tx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data'!$BI$19:$BI$50</c:f>
              <c:numCache>
                <c:formatCode>0.00</c:formatCode>
                <c:ptCount val="32"/>
                <c:pt idx="0">
                  <c:v>0.25118864315095779</c:v>
                </c:pt>
                <c:pt idx="3">
                  <c:v>0.41686938347033492</c:v>
                </c:pt>
                <c:pt idx="6">
                  <c:v>0.40738027780411229</c:v>
                </c:pt>
                <c:pt idx="9">
                  <c:v>7.7624711662868925E-2</c:v>
                </c:pt>
                <c:pt idx="12">
                  <c:v>3.4673685045253172E-2</c:v>
                </c:pt>
                <c:pt idx="15">
                  <c:v>3.0199517204020188E-2</c:v>
                </c:pt>
                <c:pt idx="18">
                  <c:v>4.0738027780411253E-2</c:v>
                </c:pt>
                <c:pt idx="21">
                  <c:v>0.1659586907437556</c:v>
                </c:pt>
                <c:pt idx="24">
                  <c:v>7.5857757502918149E-2</c:v>
                </c:pt>
                <c:pt idx="27">
                  <c:v>5.3703179637025322E-3</c:v>
                </c:pt>
                <c:pt idx="30">
                  <c:v>0.31622776601683733</c:v>
                </c:pt>
              </c:numCache>
            </c:numRef>
          </c:val>
        </c:ser>
        <c:ser>
          <c:idx val="11"/>
          <c:order val="5"/>
          <c:tx>
            <c:strRef>
              <c:f>'All data'!$BS$2</c:f>
              <c:strCache>
                <c:ptCount val="1"/>
                <c:pt idx="0">
                  <c:v>HCO3-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data'!$BS$19:$BS$50</c:f>
              <c:numCache>
                <c:formatCode>0</c:formatCode>
                <c:ptCount val="32"/>
                <c:pt idx="1">
                  <c:v>281.96105631181916</c:v>
                </c:pt>
                <c:pt idx="4">
                  <c:v>221.61650706456305</c:v>
                </c:pt>
                <c:pt idx="7">
                  <c:v>954.26209784308276</c:v>
                </c:pt>
                <c:pt idx="10">
                  <c:v>1936.6410026827191</c:v>
                </c:pt>
                <c:pt idx="13">
                  <c:v>944.15128036642182</c:v>
                </c:pt>
                <c:pt idx="16">
                  <c:v>825.2366292308202</c:v>
                </c:pt>
                <c:pt idx="19">
                  <c:v>1155.7939535267312</c:v>
                </c:pt>
                <c:pt idx="22">
                  <c:v>225.70731474037734</c:v>
                </c:pt>
                <c:pt idx="25">
                  <c:v>95.471443350449164</c:v>
                </c:pt>
                <c:pt idx="28">
                  <c:v>1710.0053164167766</c:v>
                </c:pt>
                <c:pt idx="31">
                  <c:v>241.89445370529103</c:v>
                </c:pt>
              </c:numCache>
            </c:numRef>
          </c:val>
        </c:ser>
        <c:ser>
          <c:idx val="6"/>
          <c:order val="6"/>
          <c:tx>
            <c:strRef>
              <c:f>'All data'!$BN$2</c:f>
              <c:strCache>
                <c:ptCount val="1"/>
                <c:pt idx="0">
                  <c:v>SO42-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data'!$BN$19:$BN$50</c:f>
              <c:numCache>
                <c:formatCode>0.0</c:formatCode>
                <c:ptCount val="32"/>
                <c:pt idx="1">
                  <c:v>49.480821892211871</c:v>
                </c:pt>
                <c:pt idx="4" formatCode="0">
                  <c:v>100.10462210786241</c:v>
                </c:pt>
                <c:pt idx="7">
                  <c:v>55.60187943892879</c:v>
                </c:pt>
                <c:pt idx="10" formatCode="0">
                  <c:v>369.33701827198752</c:v>
                </c:pt>
                <c:pt idx="13" formatCode="0">
                  <c:v>332.18261227149611</c:v>
                </c:pt>
                <c:pt idx="16" formatCode="0">
                  <c:v>408.94083080047886</c:v>
                </c:pt>
                <c:pt idx="19" formatCode="0">
                  <c:v>491.10600886402187</c:v>
                </c:pt>
                <c:pt idx="22">
                  <c:v>95.274303450470228</c:v>
                </c:pt>
                <c:pt idx="25">
                  <c:v>42.559375099538507</c:v>
                </c:pt>
                <c:pt idx="28" formatCode="0">
                  <c:v>168.43158996374322</c:v>
                </c:pt>
                <c:pt idx="31" formatCode="0">
                  <c:v>185.48294851499756</c:v>
                </c:pt>
              </c:numCache>
            </c:numRef>
          </c:val>
        </c:ser>
        <c:ser>
          <c:idx val="7"/>
          <c:order val="7"/>
          <c:tx>
            <c:strRef>
              <c:f>'All data'!$BO$2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data'!$BO$19:$BO$50</c:f>
              <c:numCache>
                <c:formatCode>0.0</c:formatCode>
                <c:ptCount val="32"/>
                <c:pt idx="1">
                  <c:v>5.0734023127262207</c:v>
                </c:pt>
                <c:pt idx="4">
                  <c:v>6.7958665448952162</c:v>
                </c:pt>
                <c:pt idx="7">
                  <c:v>5.3178850800380157</c:v>
                </c:pt>
                <c:pt idx="10">
                  <c:v>19.673549839476511</c:v>
                </c:pt>
                <c:pt idx="13">
                  <c:v>92.552969827987596</c:v>
                </c:pt>
                <c:pt idx="16">
                  <c:v>54.388255320920337</c:v>
                </c:pt>
                <c:pt idx="19">
                  <c:v>6.389267685656896</c:v>
                </c:pt>
                <c:pt idx="22">
                  <c:v>10.48281447410357</c:v>
                </c:pt>
                <c:pt idx="25">
                  <c:v>8.4695265974434051</c:v>
                </c:pt>
                <c:pt idx="28">
                  <c:v>3.2254578940662864</c:v>
                </c:pt>
                <c:pt idx="31">
                  <c:v>5.9007640202410734</c:v>
                </c:pt>
              </c:numCache>
            </c:numRef>
          </c:val>
        </c:ser>
        <c:ser>
          <c:idx val="8"/>
          <c:order val="8"/>
          <c:tx>
            <c:strRef>
              <c:f>'All data'!$BP$2</c:f>
              <c:strCache>
                <c:ptCount val="1"/>
                <c:pt idx="0">
                  <c:v>Cl-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data'!$BP$19:$BP$50</c:f>
              <c:numCache>
                <c:formatCode>0.0</c:formatCode>
                <c:ptCount val="32"/>
                <c:pt idx="1">
                  <c:v>89.938726490472519</c:v>
                </c:pt>
                <c:pt idx="4">
                  <c:v>95.127004575057242</c:v>
                </c:pt>
                <c:pt idx="7" formatCode="0">
                  <c:v>374.0111189074662</c:v>
                </c:pt>
                <c:pt idx="10" formatCode="0">
                  <c:v>586.70436538593685</c:v>
                </c:pt>
                <c:pt idx="13" formatCode="0">
                  <c:v>927.96246277068872</c:v>
                </c:pt>
                <c:pt idx="16" formatCode="0">
                  <c:v>945.32152930440861</c:v>
                </c:pt>
                <c:pt idx="19" formatCode="0">
                  <c:v>1247.732492612043</c:v>
                </c:pt>
                <c:pt idx="22" formatCode="0">
                  <c:v>217.88788894383362</c:v>
                </c:pt>
                <c:pt idx="25">
                  <c:v>51.583306216027864</c:v>
                </c:pt>
                <c:pt idx="28" formatCode="0">
                  <c:v>407.19831325594726</c:v>
                </c:pt>
                <c:pt idx="31">
                  <c:v>81.512896621800195</c:v>
                </c:pt>
              </c:numCache>
            </c:numRef>
          </c:val>
        </c:ser>
        <c:ser>
          <c:idx val="9"/>
          <c:order val="9"/>
          <c:tx>
            <c:strRef>
              <c:f>'All data'!$BQ$2</c:f>
              <c:strCache>
                <c:ptCount val="1"/>
                <c:pt idx="0">
                  <c:v>Tot-F</c:v>
                </c:pt>
              </c:strCache>
            </c:strRef>
          </c:tx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data'!$BQ$19:$BQ$47</c:f>
              <c:numCache>
                <c:formatCode>0.0</c:formatCode>
                <c:ptCount val="29"/>
                <c:pt idx="1">
                  <c:v>4.0823011140951619</c:v>
                </c:pt>
                <c:pt idx="4">
                  <c:v>5.3480554396150985</c:v>
                </c:pt>
                <c:pt idx="7">
                  <c:v>4.4519013771469833</c:v>
                </c:pt>
                <c:pt idx="10">
                  <c:v>9.3757830691368831</c:v>
                </c:pt>
                <c:pt idx="13">
                  <c:v>15.674176592924082</c:v>
                </c:pt>
                <c:pt idx="16">
                  <c:v>9.4477363342568239</c:v>
                </c:pt>
                <c:pt idx="19">
                  <c:v>8.2723373944355405</c:v>
                </c:pt>
                <c:pt idx="22">
                  <c:v>5.2346243789050417</c:v>
                </c:pt>
                <c:pt idx="25">
                  <c:v>4.3166603957510459</c:v>
                </c:pt>
                <c:pt idx="28">
                  <c:v>4.268951194250679</c:v>
                </c:pt>
              </c:numCache>
            </c:numRef>
          </c:val>
        </c:ser>
        <c:ser>
          <c:idx val="10"/>
          <c:order val="10"/>
          <c:tx>
            <c:strRef>
              <c:f>'All data'!$BR$2</c:f>
              <c:strCache>
                <c:ptCount val="1"/>
                <c:pt idx="0">
                  <c:v>PO43-</c:v>
                </c:pt>
              </c:strCache>
            </c:strRef>
          </c:tx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data'!$BR$19:$BR$47</c:f>
              <c:numCache>
                <c:formatCode>0.0</c:formatCode>
                <c:ptCount val="29"/>
                <c:pt idx="1">
                  <c:v>0.48433968356474005</c:v>
                </c:pt>
                <c:pt idx="4">
                  <c:v>0.48433968356474005</c:v>
                </c:pt>
                <c:pt idx="7">
                  <c:v>0.38747174685179209</c:v>
                </c:pt>
                <c:pt idx="10">
                  <c:v>4.2621892153697125</c:v>
                </c:pt>
                <c:pt idx="13">
                  <c:v>0.58120762027768813</c:v>
                </c:pt>
                <c:pt idx="16">
                  <c:v>0.38747174685179209</c:v>
                </c:pt>
                <c:pt idx="19">
                  <c:v>0.29060381013884407</c:v>
                </c:pt>
                <c:pt idx="22">
                  <c:v>0.29060381013884407</c:v>
                </c:pt>
                <c:pt idx="25">
                  <c:v>0.19373587342589604</c:v>
                </c:pt>
                <c:pt idx="28">
                  <c:v>0.19373587342589604</c:v>
                </c:pt>
              </c:numCache>
            </c:numRef>
          </c:val>
        </c:ser>
        <c:ser>
          <c:idx val="0"/>
          <c:order val="11"/>
          <c:tx>
            <c:strRef>
              <c:f>'All data'!$BE$2</c:f>
              <c:strCache>
                <c:ptCount val="1"/>
                <c:pt idx="0">
                  <c:v>Org. charge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'All data'!$BH$19:$BH$50</c:f>
              <c:strCache>
                <c:ptCount val="31"/>
                <c:pt idx="0">
                  <c:v>Solbergvann</c:v>
                </c:pt>
                <c:pt idx="3">
                  <c:v>Puttjern</c:v>
                </c:pt>
                <c:pt idx="6">
                  <c:v>Sværsvann</c:v>
                </c:pt>
                <c:pt idx="9">
                  <c:v>Østensjøvann</c:v>
                </c:pt>
                <c:pt idx="12">
                  <c:v>Årungen</c:v>
                </c:pt>
                <c:pt idx="15">
                  <c:v>Gjersjøen</c:v>
                </c:pt>
                <c:pt idx="18">
                  <c:v>Kolbotntjernet</c:v>
                </c:pt>
                <c:pt idx="21">
                  <c:v>Akerselva</c:v>
                </c:pt>
                <c:pt idx="24">
                  <c:v>Maridalsvannet</c:v>
                </c:pt>
                <c:pt idx="27">
                  <c:v>Nesøytjernet</c:v>
                </c:pt>
                <c:pt idx="30">
                  <c:v>Lutvann</c:v>
                </c:pt>
              </c:strCache>
            </c:strRef>
          </c:cat>
          <c:val>
            <c:numRef>
              <c:f>'All data'!$BT$19:$BT$50</c:f>
              <c:numCache>
                <c:formatCode>0.0</c:formatCode>
                <c:ptCount val="32"/>
                <c:pt idx="1">
                  <c:v>54.052380658592611</c:v>
                </c:pt>
                <c:pt idx="4">
                  <c:v>38.40159615439196</c:v>
                </c:pt>
                <c:pt idx="7">
                  <c:v>25.794857515168601</c:v>
                </c:pt>
                <c:pt idx="10">
                  <c:v>23.285876006369893</c:v>
                </c:pt>
                <c:pt idx="13">
                  <c:v>25.251822554650722</c:v>
                </c:pt>
                <c:pt idx="16">
                  <c:v>26.098982669698081</c:v>
                </c:pt>
                <c:pt idx="19">
                  <c:v>21.775407188738708</c:v>
                </c:pt>
                <c:pt idx="22">
                  <c:v>11.956656484975232</c:v>
                </c:pt>
                <c:pt idx="25">
                  <c:v>13.206561722033289</c:v>
                </c:pt>
                <c:pt idx="28">
                  <c:v>33.764839890150554</c:v>
                </c:pt>
                <c:pt idx="31">
                  <c:v>3.9480040487591719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72568576"/>
        <c:axId val="172571648"/>
      </c:barChart>
      <c:catAx>
        <c:axId val="17256857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72571648"/>
        <c:crosses val="autoZero"/>
        <c:auto val="1"/>
        <c:lblAlgn val="ctr"/>
        <c:lblOffset val="100"/>
        <c:noMultiLvlLbl val="0"/>
      </c:catAx>
      <c:valAx>
        <c:axId val="1725716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72568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424079303942739"/>
          <c:y val="8.3069494090950616E-2"/>
          <c:w val="9.5759236179133428E-2"/>
          <c:h val="0.6601936790321154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74158937829941"/>
          <c:y val="5.6030183727034118E-2"/>
          <c:w val="0.78622220980408253"/>
          <c:h val="0.7344480898221055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'All data'!$J$2</c:f>
              <c:strCache>
                <c:ptCount val="1"/>
                <c:pt idx="0">
                  <c:v>Alkalinity</c:v>
                </c:pt>
              </c:strCache>
            </c:strRef>
          </c:tx>
          <c:spPr>
            <a:ln w="28575">
              <a:noFill/>
            </a:ln>
          </c:spPr>
          <c:xVal>
            <c:numRef>
              <c:f>'All data'!$I$4:$I$14</c:f>
              <c:numCache>
                <c:formatCode>0.00</c:formatCode>
                <c:ptCount val="11"/>
                <c:pt idx="0">
                  <c:v>6.6</c:v>
                </c:pt>
                <c:pt idx="1">
                  <c:v>6.38</c:v>
                </c:pt>
                <c:pt idx="2">
                  <c:v>6.39</c:v>
                </c:pt>
                <c:pt idx="3">
                  <c:v>7.11</c:v>
                </c:pt>
                <c:pt idx="4">
                  <c:v>7.46</c:v>
                </c:pt>
                <c:pt idx="5">
                  <c:v>7.52</c:v>
                </c:pt>
                <c:pt idx="6">
                  <c:v>7.39</c:v>
                </c:pt>
                <c:pt idx="7">
                  <c:v>6.78</c:v>
                </c:pt>
                <c:pt idx="8">
                  <c:v>7.12</c:v>
                </c:pt>
                <c:pt idx="9">
                  <c:v>8.27</c:v>
                </c:pt>
                <c:pt idx="10">
                  <c:v>6.5</c:v>
                </c:pt>
              </c:numCache>
            </c:numRef>
          </c:xVal>
          <c:yVal>
            <c:numRef>
              <c:f>'All data'!$J$4:$J$14</c:f>
              <c:numCache>
                <c:formatCode>0</c:formatCode>
                <c:ptCount val="11"/>
                <c:pt idx="0">
                  <c:v>330.52588198335229</c:v>
                </c:pt>
                <c:pt idx="1">
                  <c:v>264.67527369287109</c:v>
                </c:pt>
                <c:pt idx="2">
                  <c:v>993.45085628345578</c:v>
                </c:pt>
                <c:pt idx="3">
                  <c:v>1975.9116840745278</c:v>
                </c:pt>
                <c:pt idx="4">
                  <c:v>984.24799356397023</c:v>
                </c:pt>
                <c:pt idx="5">
                  <c:v>865.64042570167499</c:v>
                </c:pt>
                <c:pt idx="6">
                  <c:v>1194.6945799962623</c:v>
                </c:pt>
                <c:pt idx="7">
                  <c:v>261.03629854471654</c:v>
                </c:pt>
                <c:pt idx="8">
                  <c:v>131.40114221936307</c:v>
                </c:pt>
                <c:pt idx="9">
                  <c:v>1753.1808087307006</c:v>
                </c:pt>
                <c:pt idx="10">
                  <c:v>274.43862139204447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'All data'!$BD$2</c:f>
              <c:strCache>
                <c:ptCount val="1"/>
                <c:pt idx="0">
                  <c:v>eq DIC</c:v>
                </c:pt>
              </c:strCache>
            </c:strRef>
          </c:tx>
          <c:spPr>
            <a:ln w="28575">
              <a:noFill/>
            </a:ln>
          </c:spPr>
          <c:xVal>
            <c:numRef>
              <c:f>'All data'!$I$4:$I$14</c:f>
              <c:numCache>
                <c:formatCode>0.00</c:formatCode>
                <c:ptCount val="11"/>
                <c:pt idx="0">
                  <c:v>6.6</c:v>
                </c:pt>
                <c:pt idx="1">
                  <c:v>6.38</c:v>
                </c:pt>
                <c:pt idx="2">
                  <c:v>6.39</c:v>
                </c:pt>
                <c:pt idx="3">
                  <c:v>7.11</c:v>
                </c:pt>
                <c:pt idx="4">
                  <c:v>7.46</c:v>
                </c:pt>
                <c:pt idx="5">
                  <c:v>7.52</c:v>
                </c:pt>
                <c:pt idx="6">
                  <c:v>7.39</c:v>
                </c:pt>
                <c:pt idx="7">
                  <c:v>6.78</c:v>
                </c:pt>
                <c:pt idx="8">
                  <c:v>7.12</c:v>
                </c:pt>
                <c:pt idx="9">
                  <c:v>8.27</c:v>
                </c:pt>
                <c:pt idx="10">
                  <c:v>6.5</c:v>
                </c:pt>
              </c:numCache>
            </c:numRef>
          </c:xVal>
          <c:yVal>
            <c:numRef>
              <c:f>'All data'!$BD$4:$BD$14</c:f>
              <c:numCache>
                <c:formatCode>0</c:formatCode>
                <c:ptCount val="11"/>
                <c:pt idx="0" formatCode="0.0">
                  <c:v>23.988329192892834</c:v>
                </c:pt>
                <c:pt idx="1">
                  <c:v>14.454397709084942</c:v>
                </c:pt>
                <c:pt idx="2">
                  <c:v>14.791083883345609</c:v>
                </c:pt>
                <c:pt idx="3">
                  <c:v>77.624711671599684</c:v>
                </c:pt>
                <c:pt idx="4">
                  <c:v>173.78008289448215</c:v>
                </c:pt>
                <c:pt idx="5">
                  <c:v>199.52623151932801</c:v>
                </c:pt>
                <c:pt idx="6">
                  <c:v>147.91083883345598</c:v>
                </c:pt>
                <c:pt idx="7">
                  <c:v>36.307805481093681</c:v>
                </c:pt>
                <c:pt idx="8">
                  <c:v>79.432823481362007</c:v>
                </c:pt>
                <c:pt idx="9">
                  <c:v>1122.0184544281533</c:v>
                </c:pt>
                <c:pt idx="10">
                  <c:v>19.054607181775534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342848"/>
        <c:axId val="104589184"/>
      </c:scatterChart>
      <c:valAx>
        <c:axId val="103342848"/>
        <c:scaling>
          <c:orientation val="minMax"/>
          <c:min val="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04589184"/>
        <c:crosses val="autoZero"/>
        <c:crossBetween val="midCat"/>
      </c:valAx>
      <c:valAx>
        <c:axId val="1045891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Alkalinity (ueq/L)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3342848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8077095692050316"/>
          <c:y val="3.2023549139690875E-2"/>
          <c:w val="0.15085158363296947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0939567538769891"/>
                  <c:y val="4.8796660834062408E-2"/>
                </c:manualLayout>
              </c:layout>
              <c:numFmt formatCode="General" sourceLinked="0"/>
            </c:trendlineLbl>
          </c:trendline>
          <c:xVal>
            <c:numRef>
              <c:f>'All data'!$K$4:$K$14</c:f>
              <c:numCache>
                <c:formatCode>0.0</c:formatCode>
                <c:ptCount val="11"/>
                <c:pt idx="0">
                  <c:v>26</c:v>
                </c:pt>
                <c:pt idx="1">
                  <c:v>38.5</c:v>
                </c:pt>
                <c:pt idx="2">
                  <c:v>67.3</c:v>
                </c:pt>
                <c:pt idx="3">
                  <c:v>244</c:v>
                </c:pt>
                <c:pt idx="4">
                  <c:v>209</c:v>
                </c:pt>
                <c:pt idx="5">
                  <c:v>198.3</c:v>
                </c:pt>
                <c:pt idx="6">
                  <c:v>261</c:v>
                </c:pt>
                <c:pt idx="7">
                  <c:v>51.7</c:v>
                </c:pt>
                <c:pt idx="8">
                  <c:v>19.07</c:v>
                </c:pt>
                <c:pt idx="9">
                  <c:v>195</c:v>
                </c:pt>
                <c:pt idx="10">
                  <c:v>44</c:v>
                </c:pt>
              </c:numCache>
            </c:numRef>
          </c:xVal>
          <c:yVal>
            <c:numRef>
              <c:f>'All data'!$BX$4:$BX$14</c:f>
              <c:numCache>
                <c:formatCode>0.0E+00</c:formatCode>
                <c:ptCount val="11"/>
                <c:pt idx="0">
                  <c:v>1.9598574179317368E-4</c:v>
                </c:pt>
                <c:pt idx="1">
                  <c:v>3.0493806143933223E-4</c:v>
                </c:pt>
                <c:pt idx="2">
                  <c:v>5.435180137660032E-4</c:v>
                </c:pt>
                <c:pt idx="3">
                  <c:v>1.8007759728556592E-3</c:v>
                </c:pt>
                <c:pt idx="4">
                  <c:v>1.7457304598384067E-3</c:v>
                </c:pt>
                <c:pt idx="5">
                  <c:v>1.6954504994254173E-3</c:v>
                </c:pt>
                <c:pt idx="6">
                  <c:v>2.1439031350238532E-3</c:v>
                </c:pt>
                <c:pt idx="7">
                  <c:v>3.8940931050696997E-4</c:v>
                </c:pt>
                <c:pt idx="8">
                  <c:v>1.1694792247018116E-4</c:v>
                </c:pt>
                <c:pt idx="9">
                  <c:v>1.3184821359522765E-3</c:v>
                </c:pt>
                <c:pt idx="10">
                  <c:v>3.3250295557711471E-4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456256"/>
        <c:axId val="115458432"/>
      </c:scatterChart>
      <c:valAx>
        <c:axId val="11545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Conductivity (µS/cm)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15458432"/>
        <c:crosses val="autoZero"/>
        <c:crossBetween val="midCat"/>
      </c:valAx>
      <c:valAx>
        <c:axId val="1154584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Ionic strength (µeq/L)</a:t>
                </a:r>
              </a:p>
            </c:rich>
          </c:tx>
          <c:layout/>
          <c:overlay val="0"/>
        </c:title>
        <c:numFmt formatCode="0.0E+00" sourceLinked="1"/>
        <c:majorTickMark val="out"/>
        <c:minorTickMark val="none"/>
        <c:tickLblPos val="nextTo"/>
        <c:crossAx val="1154562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3.197117599249142E-2"/>
                  <c:y val="0.30971055701370664"/>
                </c:manualLayout>
              </c:layout>
              <c:numFmt formatCode="General" sourceLinked="0"/>
            </c:trendlineLbl>
          </c:trendline>
          <c:xVal>
            <c:numRef>
              <c:f>'All data'!$M$4:$M$14</c:f>
              <c:numCache>
                <c:formatCode>0.000</c:formatCode>
                <c:ptCount val="11"/>
                <c:pt idx="0">
                  <c:v>0.56000000000000005</c:v>
                </c:pt>
                <c:pt idx="1">
                  <c:v>0.46600000000000003</c:v>
                </c:pt>
                <c:pt idx="2">
                  <c:v>0.254</c:v>
                </c:pt>
                <c:pt idx="3">
                  <c:v>0.21199999999999999</c:v>
                </c:pt>
                <c:pt idx="4">
                  <c:v>0.193</c:v>
                </c:pt>
                <c:pt idx="5">
                  <c:v>0.192</c:v>
                </c:pt>
                <c:pt idx="6">
                  <c:v>0.13200000000000001</c:v>
                </c:pt>
                <c:pt idx="7">
                  <c:v>0.11799999999999999</c:v>
                </c:pt>
                <c:pt idx="8">
                  <c:v>0.125</c:v>
                </c:pt>
                <c:pt idx="9">
                  <c:v>0.156</c:v>
                </c:pt>
                <c:pt idx="10">
                  <c:v>2.7E-2</c:v>
                </c:pt>
              </c:numCache>
            </c:numRef>
          </c:xVal>
          <c:yVal>
            <c:numRef>
              <c:f>'All data'!$N$4:$N$14</c:f>
              <c:numCache>
                <c:formatCode>0.000</c:formatCode>
                <c:ptCount val="11"/>
                <c:pt idx="0">
                  <c:v>7.1999999999999995E-2</c:v>
                </c:pt>
                <c:pt idx="1">
                  <c:v>6.6000000000000003E-2</c:v>
                </c:pt>
                <c:pt idx="2">
                  <c:v>3.3000000000000002E-2</c:v>
                </c:pt>
                <c:pt idx="3">
                  <c:v>3.1E-2</c:v>
                </c:pt>
                <c:pt idx="4">
                  <c:v>2.4E-2</c:v>
                </c:pt>
                <c:pt idx="5">
                  <c:v>1.7000000000000001E-2</c:v>
                </c:pt>
                <c:pt idx="6">
                  <c:v>1.6E-2</c:v>
                </c:pt>
                <c:pt idx="7">
                  <c:v>1.4E-2</c:v>
                </c:pt>
                <c:pt idx="8">
                  <c:v>1.2E-2</c:v>
                </c:pt>
                <c:pt idx="9">
                  <c:v>1.0999999999999999E-2</c:v>
                </c:pt>
                <c:pt idx="10">
                  <c:v>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42208"/>
        <c:axId val="115744128"/>
      </c:scatterChart>
      <c:valAx>
        <c:axId val="11574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Abs. @ </a:t>
                </a:r>
                <a:r>
                  <a:rPr lang="el-GR"/>
                  <a:t>λ254</a:t>
                </a: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15744128"/>
        <c:crosses val="autoZero"/>
        <c:crossBetween val="midCat"/>
      </c:valAx>
      <c:valAx>
        <c:axId val="11574412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Abs. @ </a:t>
                </a:r>
                <a:r>
                  <a:rPr lang="el-GR"/>
                  <a:t>λ400</a:t>
                </a: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15742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'All data'!$N$4:$N$14</c:f>
              <c:numCache>
                <c:formatCode>0.000</c:formatCode>
                <c:ptCount val="11"/>
                <c:pt idx="0">
                  <c:v>7.1999999999999995E-2</c:v>
                </c:pt>
                <c:pt idx="1">
                  <c:v>6.6000000000000003E-2</c:v>
                </c:pt>
                <c:pt idx="2">
                  <c:v>3.3000000000000002E-2</c:v>
                </c:pt>
                <c:pt idx="3">
                  <c:v>3.1E-2</c:v>
                </c:pt>
                <c:pt idx="4">
                  <c:v>2.4E-2</c:v>
                </c:pt>
                <c:pt idx="5">
                  <c:v>1.7000000000000001E-2</c:v>
                </c:pt>
                <c:pt idx="6">
                  <c:v>1.6E-2</c:v>
                </c:pt>
                <c:pt idx="7">
                  <c:v>1.4E-2</c:v>
                </c:pt>
                <c:pt idx="8">
                  <c:v>1.2E-2</c:v>
                </c:pt>
                <c:pt idx="9">
                  <c:v>1.0999999999999999E-2</c:v>
                </c:pt>
                <c:pt idx="10">
                  <c:v>2E-3</c:v>
                </c:pt>
              </c:numCache>
            </c:numRef>
          </c:xVal>
          <c:yVal>
            <c:numRef>
              <c:f>'All data'!$O$4:$O$14</c:f>
              <c:numCache>
                <c:formatCode>0.000</c:formatCode>
                <c:ptCount val="11"/>
                <c:pt idx="0">
                  <c:v>8.0000000000000002E-3</c:v>
                </c:pt>
                <c:pt idx="1">
                  <c:v>8.0000000000000002E-3</c:v>
                </c:pt>
                <c:pt idx="2">
                  <c:v>5.0000000000000001E-3</c:v>
                </c:pt>
                <c:pt idx="3">
                  <c:v>8.0000000000000002E-3</c:v>
                </c:pt>
                <c:pt idx="4">
                  <c:v>7.0000000000000001E-3</c:v>
                </c:pt>
                <c:pt idx="5">
                  <c:v>3.0000000000000001E-3</c:v>
                </c:pt>
                <c:pt idx="6">
                  <c:v>7.0000000000000001E-3</c:v>
                </c:pt>
                <c:pt idx="7">
                  <c:v>3.0000000000000001E-3</c:v>
                </c:pt>
                <c:pt idx="8">
                  <c:v>2E-3</c:v>
                </c:pt>
                <c:pt idx="9">
                  <c:v>3.0000000000000001E-3</c:v>
                </c:pt>
                <c:pt idx="10">
                  <c:v>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81632"/>
        <c:axId val="115783552"/>
      </c:scatterChart>
      <c:valAx>
        <c:axId val="11578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Abs. @ </a:t>
                </a:r>
                <a:r>
                  <a:rPr lang="el-GR"/>
                  <a:t>λ</a:t>
                </a:r>
                <a:r>
                  <a:rPr lang="nb-NO"/>
                  <a:t>400</a:t>
                </a: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15783552"/>
        <c:crosses val="autoZero"/>
        <c:crossBetween val="midCat"/>
      </c:valAx>
      <c:valAx>
        <c:axId val="1157835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Abs. @ </a:t>
                </a:r>
                <a:r>
                  <a:rPr lang="el-GR"/>
                  <a:t>λ</a:t>
                </a:r>
                <a:r>
                  <a:rPr lang="nb-NO"/>
                  <a:t>600</a:t>
                </a:r>
                <a:r>
                  <a:rPr lang="en-US"/>
                  <a:t>nm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15781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8.1445677923529719E-2"/>
                  <c:y val="0.47174759405074368"/>
                </c:manualLayout>
              </c:layout>
              <c:numFmt formatCode="General" sourceLinked="0"/>
            </c:trendlineLbl>
          </c:trendline>
          <c:xVal>
            <c:numRef>
              <c:f>'All data'!$M$4:$M$14</c:f>
              <c:numCache>
                <c:formatCode>0.000</c:formatCode>
                <c:ptCount val="11"/>
                <c:pt idx="0">
                  <c:v>0.56000000000000005</c:v>
                </c:pt>
                <c:pt idx="1">
                  <c:v>0.46600000000000003</c:v>
                </c:pt>
                <c:pt idx="2">
                  <c:v>0.254</c:v>
                </c:pt>
                <c:pt idx="3">
                  <c:v>0.21199999999999999</c:v>
                </c:pt>
                <c:pt idx="4">
                  <c:v>0.193</c:v>
                </c:pt>
                <c:pt idx="5">
                  <c:v>0.192</c:v>
                </c:pt>
                <c:pt idx="6">
                  <c:v>0.13200000000000001</c:v>
                </c:pt>
                <c:pt idx="7">
                  <c:v>0.11799999999999999</c:v>
                </c:pt>
                <c:pt idx="8">
                  <c:v>0.125</c:v>
                </c:pt>
                <c:pt idx="9">
                  <c:v>0.156</c:v>
                </c:pt>
                <c:pt idx="10">
                  <c:v>2.7E-2</c:v>
                </c:pt>
              </c:numCache>
            </c:numRef>
          </c:xVal>
          <c:yVal>
            <c:numRef>
              <c:f>'All data'!$P$4:$P$14</c:f>
              <c:numCache>
                <c:formatCode>0.00</c:formatCode>
                <c:ptCount val="11"/>
                <c:pt idx="0">
                  <c:v>10.220000000000001</c:v>
                </c:pt>
                <c:pt idx="1">
                  <c:v>7.3609999999999998</c:v>
                </c:pt>
                <c:pt idx="2">
                  <c:v>4.9409999999999998</c:v>
                </c:pt>
                <c:pt idx="3">
                  <c:v>4.3140000000000001</c:v>
                </c:pt>
                <c:pt idx="4">
                  <c:v>4.6420000000000003</c:v>
                </c:pt>
                <c:pt idx="5">
                  <c:v>4.7930000000000001</c:v>
                </c:pt>
                <c:pt idx="6">
                  <c:v>4.008</c:v>
                </c:pt>
                <c:pt idx="7">
                  <c:v>2.2410000000000001</c:v>
                </c:pt>
                <c:pt idx="8">
                  <c:v>2.4460000000000002</c:v>
                </c:pt>
                <c:pt idx="9">
                  <c:v>6.157</c:v>
                </c:pt>
                <c:pt idx="10">
                  <c:v>0.75080000000000002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699136"/>
        <c:axId val="118701056"/>
      </c:scatterChart>
      <c:valAx>
        <c:axId val="11869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1" i="0" baseline="0">
                    <a:effectLst/>
                  </a:rPr>
                  <a:t>Abs. @ </a:t>
                </a:r>
                <a:r>
                  <a:rPr lang="el-GR" sz="1100" b="1" i="0" baseline="0">
                    <a:effectLst/>
                  </a:rPr>
                  <a:t>λ</a:t>
                </a:r>
                <a:r>
                  <a:rPr lang="nb-NO" sz="1100" b="1" i="0" baseline="0">
                    <a:effectLst/>
                  </a:rPr>
                  <a:t>254</a:t>
                </a:r>
                <a:r>
                  <a:rPr lang="en-US" sz="1100" b="1" i="0" baseline="0">
                    <a:effectLst/>
                  </a:rPr>
                  <a:t>nm</a:t>
                </a:r>
                <a:endParaRPr lang="en-GB" sz="600">
                  <a:effectLst/>
                </a:endParaRP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18701056"/>
        <c:crosses val="autoZero"/>
        <c:crossBetween val="midCat"/>
      </c:valAx>
      <c:valAx>
        <c:axId val="1187010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DOC (mg/L)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8699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8.2338801399825023E-2"/>
                  <c:y val="0.42545129775444734"/>
                </c:manualLayout>
              </c:layout>
              <c:numFmt formatCode="General" sourceLinked="0"/>
            </c:trendlineLbl>
          </c:trendline>
          <c:xVal>
            <c:numRef>
              <c:f>'All data'!$BJ$4:$BJ$14</c:f>
              <c:numCache>
                <c:formatCode>0</c:formatCode>
                <c:ptCount val="11"/>
                <c:pt idx="0">
                  <c:v>143.6952941763561</c:v>
                </c:pt>
                <c:pt idx="1">
                  <c:v>251.67722940266481</c:v>
                </c:pt>
                <c:pt idx="2">
                  <c:v>245.22930285942414</c:v>
                </c:pt>
                <c:pt idx="3">
                  <c:v>1421.3184290633264</c:v>
                </c:pt>
                <c:pt idx="4">
                  <c:v>918.02485153949783</c:v>
                </c:pt>
                <c:pt idx="5">
                  <c:v>902.83946304705808</c:v>
                </c:pt>
                <c:pt idx="6">
                  <c:v>1112.7850691152253</c:v>
                </c:pt>
                <c:pt idx="7">
                  <c:v>225.99481012026547</c:v>
                </c:pt>
                <c:pt idx="8">
                  <c:v>95.741304456310189</c:v>
                </c:pt>
                <c:pt idx="9">
                  <c:v>1149.4086531264034</c:v>
                </c:pt>
                <c:pt idx="10">
                  <c:v>273.70327860671688</c:v>
                </c:pt>
              </c:numCache>
            </c:numRef>
          </c:xVal>
          <c:yVal>
            <c:numRef>
              <c:f>'All data'!$BK$4:$BK$14</c:f>
              <c:numCache>
                <c:formatCode>0.0</c:formatCode>
                <c:ptCount val="11"/>
                <c:pt idx="0">
                  <c:v>53.827739387956562</c:v>
                </c:pt>
                <c:pt idx="1">
                  <c:v>82.999341888779199</c:v>
                </c:pt>
                <c:pt idx="2">
                  <c:v>74.392810134912793</c:v>
                </c:pt>
                <c:pt idx="3" formatCode="0">
                  <c:v>433.53158933859822</c:v>
                </c:pt>
                <c:pt idx="4" formatCode="0">
                  <c:v>340.93205001645276</c:v>
                </c:pt>
                <c:pt idx="5" formatCode="0">
                  <c:v>231.94389601842713</c:v>
                </c:pt>
                <c:pt idx="6" formatCode="0">
                  <c:v>251.12948338269163</c:v>
                </c:pt>
                <c:pt idx="7">
                  <c:v>63.006581112207954</c:v>
                </c:pt>
                <c:pt idx="8" formatCode="0">
                  <c:v>25.508144126357351</c:v>
                </c:pt>
                <c:pt idx="9">
                  <c:v>308.51678183613029</c:v>
                </c:pt>
                <c:pt idx="10" formatCode="0">
                  <c:v>76.878331688055269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717824"/>
        <c:axId val="118744576"/>
      </c:scatterChart>
      <c:valAx>
        <c:axId val="11871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 (ueq/L)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18744576"/>
        <c:crosses val="autoZero"/>
        <c:crossBetween val="midCat"/>
      </c:valAx>
      <c:valAx>
        <c:axId val="1187445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Mg (ueq/L)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187178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8.2338801399825023E-2"/>
                  <c:y val="0.42545129775444734"/>
                </c:manualLayout>
              </c:layout>
              <c:numFmt formatCode="General" sourceLinked="0"/>
            </c:trendlineLbl>
          </c:trendline>
          <c:xVal>
            <c:numRef>
              <c:f>'All data'!$BL$4:$BL$14</c:f>
              <c:numCache>
                <c:formatCode>0</c:formatCode>
                <c:ptCount val="11"/>
                <c:pt idx="0" formatCode="0.0">
                  <c:v>45.622009569377994</c:v>
                </c:pt>
                <c:pt idx="1">
                  <c:v>67.407133536320146</c:v>
                </c:pt>
                <c:pt idx="2" formatCode="0.0">
                  <c:v>327.62374945628534</c:v>
                </c:pt>
                <c:pt idx="3">
                  <c:v>695.06742061765988</c:v>
                </c:pt>
                <c:pt idx="4">
                  <c:v>795.0369725967812</c:v>
                </c:pt>
                <c:pt idx="5">
                  <c:v>793.64941278816877</c:v>
                </c:pt>
                <c:pt idx="6">
                  <c:v>1099.4649847759897</c:v>
                </c:pt>
                <c:pt idx="7">
                  <c:v>160.77163984341018</c:v>
                </c:pt>
                <c:pt idx="8">
                  <c:v>5.6416702914310575</c:v>
                </c:pt>
                <c:pt idx="9" formatCode="0.0">
                  <c:v>565.77642453240537</c:v>
                </c:pt>
                <c:pt idx="10">
                  <c:v>36.90561113527621</c:v>
                </c:pt>
              </c:numCache>
            </c:numRef>
          </c:xVal>
          <c:yVal>
            <c:numRef>
              <c:f>'All data'!$BM$4:$BM$14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66.466165413533844</c:v>
                </c:pt>
                <c:pt idx="4" formatCode="0">
                  <c:v>69.06015037593987</c:v>
                </c:pt>
                <c:pt idx="5">
                  <c:v>44.33967571991203</c:v>
                </c:pt>
                <c:pt idx="6" formatCode="0">
                  <c:v>70.885888189862428</c:v>
                </c:pt>
                <c:pt idx="7">
                  <c:v>0</c:v>
                </c:pt>
                <c:pt idx="8">
                  <c:v>0</c:v>
                </c:pt>
                <c:pt idx="9">
                  <c:v>30.132729783642784</c:v>
                </c:pt>
                <c:pt idx="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438144"/>
        <c:axId val="118440320"/>
      </c:scatterChart>
      <c:valAx>
        <c:axId val="11843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Na (ueq/L)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18440320"/>
        <c:crosses val="autoZero"/>
        <c:crossBetween val="midCat"/>
      </c:valAx>
      <c:valAx>
        <c:axId val="118440320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 (ueq/L)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18438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147636</xdr:colOff>
      <xdr:row>54</xdr:row>
      <xdr:rowOff>147637</xdr:rowOff>
    </xdr:from>
    <xdr:to>
      <xdr:col>68</xdr:col>
      <xdr:colOff>56029</xdr:colOff>
      <xdr:row>83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60</xdr:col>
      <xdr:colOff>157368</xdr:colOff>
      <xdr:row>83</xdr:row>
      <xdr:rowOff>157369</xdr:rowOff>
    </xdr:from>
    <xdr:to>
      <xdr:col>68</xdr:col>
      <xdr:colOff>33129</xdr:colOff>
      <xdr:row>112</xdr:row>
      <xdr:rowOff>38307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223630</xdr:colOff>
      <xdr:row>17</xdr:row>
      <xdr:rowOff>19878</xdr:rowOff>
    </xdr:from>
    <xdr:to>
      <xdr:col>9</xdr:col>
      <xdr:colOff>575642</xdr:colOff>
      <xdr:row>31</xdr:row>
      <xdr:rowOff>96078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7</xdr:col>
      <xdr:colOff>561138</xdr:colOff>
      <xdr:row>26</xdr:row>
      <xdr:rowOff>52175</xdr:rowOff>
    </xdr:from>
    <xdr:ext cx="349648" cy="264560"/>
    <xdr:sp macro="" textlink="">
      <xdr:nvSpPr>
        <xdr:cNvPr id="5" name="TextBox 4"/>
        <xdr:cNvSpPr txBox="1"/>
      </xdr:nvSpPr>
      <xdr:spPr>
        <a:xfrm>
          <a:off x="7457238" y="5148050"/>
          <a:ext cx="3496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Elv</a:t>
          </a:r>
        </a:p>
      </xdr:txBody>
    </xdr:sp>
    <xdr:clientData/>
  </xdr:oneCellAnchor>
  <xdr:oneCellAnchor>
    <xdr:from>
      <xdr:col>7</xdr:col>
      <xdr:colOff>496556</xdr:colOff>
      <xdr:row>18</xdr:row>
      <xdr:rowOff>36443</xdr:rowOff>
    </xdr:from>
    <xdr:ext cx="541495" cy="264560"/>
    <xdr:sp macro="" textlink="">
      <xdr:nvSpPr>
        <xdr:cNvPr id="6" name="TextBox 5"/>
        <xdr:cNvSpPr txBox="1"/>
      </xdr:nvSpPr>
      <xdr:spPr>
        <a:xfrm>
          <a:off x="7392656" y="3608318"/>
          <a:ext cx="5414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Eutrof</a:t>
          </a:r>
        </a:p>
      </xdr:txBody>
    </xdr:sp>
    <xdr:clientData/>
  </xdr:oneCellAnchor>
  <xdr:oneCellAnchor>
    <xdr:from>
      <xdr:col>8</xdr:col>
      <xdr:colOff>168529</xdr:colOff>
      <xdr:row>19</xdr:row>
      <xdr:rowOff>2892</xdr:rowOff>
    </xdr:from>
    <xdr:ext cx="931537" cy="264560"/>
    <xdr:sp macro="" textlink="">
      <xdr:nvSpPr>
        <xdr:cNvPr id="7" name="TextBox 6"/>
        <xdr:cNvSpPr txBox="1"/>
      </xdr:nvSpPr>
      <xdr:spPr>
        <a:xfrm>
          <a:off x="8883904" y="3765267"/>
          <a:ext cx="9315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Nesøytjernet</a:t>
          </a:r>
        </a:p>
      </xdr:txBody>
    </xdr:sp>
    <xdr:clientData/>
  </xdr:oneCellAnchor>
  <xdr:oneCellAnchor>
    <xdr:from>
      <xdr:col>6</xdr:col>
      <xdr:colOff>1220433</xdr:colOff>
      <xdr:row>22</xdr:row>
      <xdr:rowOff>49285</xdr:rowOff>
    </xdr:from>
    <xdr:ext cx="604333" cy="264560"/>
    <xdr:sp macro="" textlink="">
      <xdr:nvSpPr>
        <xdr:cNvPr id="8" name="TextBox 7"/>
        <xdr:cNvSpPr txBox="1"/>
      </xdr:nvSpPr>
      <xdr:spPr>
        <a:xfrm>
          <a:off x="6297258" y="4383160"/>
          <a:ext cx="6043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Dystrof</a:t>
          </a:r>
        </a:p>
      </xdr:txBody>
    </xdr:sp>
    <xdr:clientData/>
  </xdr:oneCellAnchor>
  <xdr:twoCellAnchor>
    <xdr:from>
      <xdr:col>6</xdr:col>
      <xdr:colOff>265044</xdr:colOff>
      <xdr:row>32</xdr:row>
      <xdr:rowOff>16565</xdr:rowOff>
    </xdr:from>
    <xdr:to>
      <xdr:col>9</xdr:col>
      <xdr:colOff>604631</xdr:colOff>
      <xdr:row>46</xdr:row>
      <xdr:rowOff>92765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7551</xdr:colOff>
      <xdr:row>16</xdr:row>
      <xdr:rowOff>187477</xdr:rowOff>
    </xdr:from>
    <xdr:to>
      <xdr:col>14</xdr:col>
      <xdr:colOff>997323</xdr:colOff>
      <xdr:row>31</xdr:row>
      <xdr:rowOff>73177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32</xdr:row>
      <xdr:rowOff>57978</xdr:rowOff>
    </xdr:from>
    <xdr:to>
      <xdr:col>14</xdr:col>
      <xdr:colOff>1008530</xdr:colOff>
      <xdr:row>46</xdr:row>
      <xdr:rowOff>134178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</xdr:colOff>
      <xdr:row>47</xdr:row>
      <xdr:rowOff>173935</xdr:rowOff>
    </xdr:from>
    <xdr:to>
      <xdr:col>14</xdr:col>
      <xdr:colOff>1019737</xdr:colOff>
      <xdr:row>62</xdr:row>
      <xdr:rowOff>59635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239933</xdr:colOff>
      <xdr:row>17</xdr:row>
      <xdr:rowOff>69573</xdr:rowOff>
    </xdr:from>
    <xdr:to>
      <xdr:col>20</xdr:col>
      <xdr:colOff>466974</xdr:colOff>
      <xdr:row>31</xdr:row>
      <xdr:rowOff>145773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194381</xdr:colOff>
      <xdr:row>32</xdr:row>
      <xdr:rowOff>66261</xdr:rowOff>
    </xdr:from>
    <xdr:to>
      <xdr:col>20</xdr:col>
      <xdr:colOff>421422</xdr:colOff>
      <xdr:row>46</xdr:row>
      <xdr:rowOff>142461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191945</xdr:colOff>
      <xdr:row>47</xdr:row>
      <xdr:rowOff>54567</xdr:rowOff>
    </xdr:from>
    <xdr:to>
      <xdr:col>20</xdr:col>
      <xdr:colOff>457962</xdr:colOff>
      <xdr:row>61</xdr:row>
      <xdr:rowOff>130767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521634</xdr:colOff>
      <xdr:row>17</xdr:row>
      <xdr:rowOff>82363</xdr:rowOff>
    </xdr:from>
    <xdr:to>
      <xdr:col>24</xdr:col>
      <xdr:colOff>928408</xdr:colOff>
      <xdr:row>31</xdr:row>
      <xdr:rowOff>158563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529478</xdr:colOff>
      <xdr:row>32</xdr:row>
      <xdr:rowOff>105896</xdr:rowOff>
    </xdr:from>
    <xdr:to>
      <xdr:col>24</xdr:col>
      <xdr:colOff>936252</xdr:colOff>
      <xdr:row>46</xdr:row>
      <xdr:rowOff>182096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20</xdr:col>
      <xdr:colOff>529478</xdr:colOff>
      <xdr:row>47</xdr:row>
      <xdr:rowOff>20731</xdr:rowOff>
    </xdr:from>
    <xdr:to>
      <xdr:col>24</xdr:col>
      <xdr:colOff>936252</xdr:colOff>
      <xdr:row>61</xdr:row>
      <xdr:rowOff>96931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84605</xdr:colOff>
      <xdr:row>15</xdr:row>
      <xdr:rowOff>19610</xdr:rowOff>
    </xdr:from>
    <xdr:to>
      <xdr:col>41</xdr:col>
      <xdr:colOff>701488</xdr:colOff>
      <xdr:row>29</xdr:row>
      <xdr:rowOff>95810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36</xdr:col>
      <xdr:colOff>72278</xdr:colOff>
      <xdr:row>16</xdr:row>
      <xdr:rowOff>142876</xdr:rowOff>
    </xdr:from>
    <xdr:to>
      <xdr:col>37</xdr:col>
      <xdr:colOff>544046</xdr:colOff>
      <xdr:row>21</xdr:row>
      <xdr:rowOff>28576</xdr:rowOff>
    </xdr:to>
    <xdr:sp macro="" textlink="">
      <xdr:nvSpPr>
        <xdr:cNvPr id="35" name="TextBox 34"/>
        <xdr:cNvSpPr txBox="1"/>
      </xdr:nvSpPr>
      <xdr:spPr>
        <a:xfrm>
          <a:off x="34227807" y="3347758"/>
          <a:ext cx="1076886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Both are mobile anions .</a:t>
          </a:r>
        </a:p>
        <a:p>
          <a:r>
            <a:rPr lang="en-GB" sz="1100"/>
            <a:t>Indication</a:t>
          </a:r>
          <a:r>
            <a:rPr lang="en-GB" sz="1100" baseline="0"/>
            <a:t> of dilution</a:t>
          </a:r>
          <a:endParaRPr lang="en-GB" sz="1100"/>
        </a:p>
      </xdr:txBody>
    </xdr:sp>
    <xdr:clientData/>
  </xdr:twoCellAnchor>
  <xdr:twoCellAnchor>
    <xdr:from>
      <xdr:col>42</xdr:col>
      <xdr:colOff>131108</xdr:colOff>
      <xdr:row>15</xdr:row>
      <xdr:rowOff>50988</xdr:rowOff>
    </xdr:from>
    <xdr:to>
      <xdr:col>56</xdr:col>
      <xdr:colOff>697565</xdr:colOff>
      <xdr:row>29</xdr:row>
      <xdr:rowOff>127188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74</xdr:col>
      <xdr:colOff>23251</xdr:colOff>
      <xdr:row>31</xdr:row>
      <xdr:rowOff>58831</xdr:rowOff>
    </xdr:from>
    <xdr:to>
      <xdr:col>100</xdr:col>
      <xdr:colOff>838478</xdr:colOff>
      <xdr:row>45</xdr:row>
      <xdr:rowOff>135031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74</xdr:col>
      <xdr:colOff>35859</xdr:colOff>
      <xdr:row>46</xdr:row>
      <xdr:rowOff>8964</xdr:rowOff>
    </xdr:from>
    <xdr:to>
      <xdr:col>100</xdr:col>
      <xdr:colOff>851086</xdr:colOff>
      <xdr:row>60</xdr:row>
      <xdr:rowOff>85164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403412</xdr:colOff>
      <xdr:row>33</xdr:row>
      <xdr:rowOff>22412</xdr:rowOff>
    </xdr:from>
    <xdr:to>
      <xdr:col>13</xdr:col>
      <xdr:colOff>0</xdr:colOff>
      <xdr:row>36</xdr:row>
      <xdr:rowOff>112059</xdr:rowOff>
    </xdr:to>
    <xdr:sp macro="" textlink="">
      <xdr:nvSpPr>
        <xdr:cNvPr id="41" name="Oval 40"/>
        <xdr:cNvSpPr/>
      </xdr:nvSpPr>
      <xdr:spPr bwMode="auto">
        <a:xfrm rot="20611045">
          <a:off x="11508441" y="6465794"/>
          <a:ext cx="1322294" cy="661147"/>
        </a:xfrm>
        <a:prstGeom prst="ellipse">
          <a:avLst/>
        </a:prstGeom>
        <a:noFill/>
        <a:ln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b-NO" sz="1100"/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14</xdr:col>
      <xdr:colOff>1019736</xdr:colOff>
      <xdr:row>77</xdr:row>
      <xdr:rowOff>76200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0</xdr:colOff>
      <xdr:row>78</xdr:row>
      <xdr:rowOff>0</xdr:rowOff>
    </xdr:from>
    <xdr:to>
      <xdr:col>14</xdr:col>
      <xdr:colOff>1019736</xdr:colOff>
      <xdr:row>92</xdr:row>
      <xdr:rowOff>76200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0</xdr:colOff>
      <xdr:row>63</xdr:row>
      <xdr:rowOff>0</xdr:rowOff>
    </xdr:from>
    <xdr:to>
      <xdr:col>9</xdr:col>
      <xdr:colOff>369795</xdr:colOff>
      <xdr:row>77</xdr:row>
      <xdr:rowOff>76200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0</xdr:colOff>
      <xdr:row>48</xdr:row>
      <xdr:rowOff>0</xdr:rowOff>
    </xdr:from>
    <xdr:to>
      <xdr:col>9</xdr:col>
      <xdr:colOff>369795</xdr:colOff>
      <xdr:row>62</xdr:row>
      <xdr:rowOff>76200</xdr:rowOff>
    </xdr:to>
    <xdr:graphicFrame macro="">
      <xdr:nvGraphicFramePr>
        <xdr:cNvPr id="46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35</xdr:col>
      <xdr:colOff>145676</xdr:colOff>
      <xdr:row>30</xdr:row>
      <xdr:rowOff>100853</xdr:rowOff>
    </xdr:from>
    <xdr:to>
      <xdr:col>41</xdr:col>
      <xdr:colOff>762559</xdr:colOff>
      <xdr:row>44</xdr:row>
      <xdr:rowOff>177053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42</xdr:col>
      <xdr:colOff>0</xdr:colOff>
      <xdr:row>31</xdr:row>
      <xdr:rowOff>0</xdr:rowOff>
    </xdr:from>
    <xdr:to>
      <xdr:col>56</xdr:col>
      <xdr:colOff>566457</xdr:colOff>
      <xdr:row>45</xdr:row>
      <xdr:rowOff>76200</xdr:rowOff>
    </xdr:to>
    <xdr:graphicFrame macro="">
      <xdr:nvGraphicFramePr>
        <xdr:cNvPr id="50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56</xdr:col>
      <xdr:colOff>566457</xdr:colOff>
      <xdr:row>60</xdr:row>
      <xdr:rowOff>76200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74</xdr:col>
      <xdr:colOff>11206</xdr:colOff>
      <xdr:row>16</xdr:row>
      <xdr:rowOff>107576</xdr:rowOff>
    </xdr:from>
    <xdr:to>
      <xdr:col>100</xdr:col>
      <xdr:colOff>840441</xdr:colOff>
      <xdr:row>30</xdr:row>
      <xdr:rowOff>183776</xdr:rowOff>
    </xdr:to>
    <xdr:graphicFrame macro="">
      <xdr:nvGraphicFramePr>
        <xdr:cNvPr id="54" name="Chart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oneCellAnchor>
    <xdr:from>
      <xdr:col>7</xdr:col>
      <xdr:colOff>358588</xdr:colOff>
      <xdr:row>52</xdr:row>
      <xdr:rowOff>0</xdr:rowOff>
    </xdr:from>
    <xdr:ext cx="1919885" cy="264560"/>
    <xdr:sp macro="" textlink="">
      <xdr:nvSpPr>
        <xdr:cNvPr id="57" name="TextBox 56"/>
        <xdr:cNvSpPr txBox="1"/>
      </xdr:nvSpPr>
      <xdr:spPr>
        <a:xfrm>
          <a:off x="7250206" y="10062882"/>
          <a:ext cx="19198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According to visual perseption</a:t>
          </a:r>
        </a:p>
      </xdr:txBody>
    </xdr:sp>
    <xdr:clientData/>
  </xdr:oneCellAnchor>
  <xdr:oneCellAnchor>
    <xdr:from>
      <xdr:col>6</xdr:col>
      <xdr:colOff>829235</xdr:colOff>
      <xdr:row>63</xdr:row>
      <xdr:rowOff>33617</xdr:rowOff>
    </xdr:from>
    <xdr:ext cx="801566" cy="264560"/>
    <xdr:sp macro="" textlink="">
      <xdr:nvSpPr>
        <xdr:cNvPr id="58" name="TextBox 57"/>
        <xdr:cNvSpPr txBox="1"/>
      </xdr:nvSpPr>
      <xdr:spPr>
        <a:xfrm>
          <a:off x="5905500" y="12191999"/>
          <a:ext cx="8015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Dystrophic</a:t>
          </a:r>
        </a:p>
      </xdr:txBody>
    </xdr:sp>
    <xdr:clientData/>
  </xdr:oneCellAnchor>
  <xdr:oneCellAnchor>
    <xdr:from>
      <xdr:col>10</xdr:col>
      <xdr:colOff>661146</xdr:colOff>
      <xdr:row>62</xdr:row>
      <xdr:rowOff>156883</xdr:rowOff>
    </xdr:from>
    <xdr:ext cx="1959896" cy="264560"/>
    <xdr:sp macro="" textlink="">
      <xdr:nvSpPr>
        <xdr:cNvPr id="59" name="TextBox 58"/>
        <xdr:cNvSpPr txBox="1"/>
      </xdr:nvSpPr>
      <xdr:spPr>
        <a:xfrm>
          <a:off x="10970558" y="12124765"/>
          <a:ext cx="195989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High aromaticity of the DNOM </a:t>
          </a:r>
        </a:p>
      </xdr:txBody>
    </xdr:sp>
    <xdr:clientData/>
  </xdr:oneCellAnchor>
  <xdr:oneCellAnchor>
    <xdr:from>
      <xdr:col>17</xdr:col>
      <xdr:colOff>392206</xdr:colOff>
      <xdr:row>51</xdr:row>
      <xdr:rowOff>112059</xdr:rowOff>
    </xdr:from>
    <xdr:ext cx="1655133" cy="264560"/>
    <xdr:sp macro="" textlink="">
      <xdr:nvSpPr>
        <xdr:cNvPr id="60" name="TextBox 59"/>
        <xdr:cNvSpPr txBox="1"/>
      </xdr:nvSpPr>
      <xdr:spPr>
        <a:xfrm>
          <a:off x="17055353" y="9984441"/>
          <a:ext cx="16551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Both are redok regulated 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0.14706</cdr:x>
      <cdr:y>0.05474</cdr:y>
    </cdr:from>
    <cdr:to>
      <cdr:x>0.94118</cdr:x>
      <cdr:y>0.79003</cdr:y>
    </cdr:to>
    <cdr:cxnSp macro="">
      <cdr:nvCxnSpPr>
        <cdr:cNvPr id="3" name="Straight Connector 2"/>
        <cdr:cNvCxnSpPr/>
      </cdr:nvCxnSpPr>
      <cdr:spPr bwMode="auto">
        <a:xfrm xmlns:a="http://schemas.openxmlformats.org/drawingml/2006/main" flipV="1">
          <a:off x="672353" y="150160"/>
          <a:ext cx="3630706" cy="201705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773206</xdr:colOff>
      <xdr:row>63</xdr:row>
      <xdr:rowOff>123264</xdr:rowOff>
    </xdr:from>
    <xdr:to>
      <xdr:col>15</xdr:col>
      <xdr:colOff>317588</xdr:colOff>
      <xdr:row>99</xdr:row>
      <xdr:rowOff>190499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206" y="10488705"/>
          <a:ext cx="8878882" cy="5782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481854</xdr:colOff>
      <xdr:row>67</xdr:row>
      <xdr:rowOff>89647</xdr:rowOff>
    </xdr:from>
    <xdr:to>
      <xdr:col>7</xdr:col>
      <xdr:colOff>515471</xdr:colOff>
      <xdr:row>95</xdr:row>
      <xdr:rowOff>145677</xdr:rowOff>
    </xdr:to>
    <xdr:cxnSp macro="">
      <xdr:nvCxnSpPr>
        <xdr:cNvPr id="4" name="Straight Connector 3"/>
        <xdr:cNvCxnSpPr/>
      </xdr:nvCxnSpPr>
      <xdr:spPr bwMode="auto">
        <a:xfrm flipV="1">
          <a:off x="4975413" y="11082618"/>
          <a:ext cx="33617" cy="444873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257736</xdr:colOff>
      <xdr:row>81</xdr:row>
      <xdr:rowOff>123264</xdr:rowOff>
    </xdr:from>
    <xdr:to>
      <xdr:col>14</xdr:col>
      <xdr:colOff>414619</xdr:colOff>
      <xdr:row>81</xdr:row>
      <xdr:rowOff>134470</xdr:rowOff>
    </xdr:to>
    <xdr:cxnSp macro="">
      <xdr:nvCxnSpPr>
        <xdr:cNvPr id="7" name="Straight Connector 6"/>
        <xdr:cNvCxnSpPr/>
      </xdr:nvCxnSpPr>
      <xdr:spPr bwMode="auto">
        <a:xfrm flipV="1">
          <a:off x="1725707" y="13312588"/>
          <a:ext cx="7418294" cy="1120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8</xdr:col>
      <xdr:colOff>0</xdr:colOff>
      <xdr:row>98</xdr:row>
      <xdr:rowOff>56029</xdr:rowOff>
    </xdr:from>
    <xdr:ext cx="699166" cy="342786"/>
    <xdr:sp macro="" textlink="">
      <xdr:nvSpPr>
        <xdr:cNvPr id="8" name="TextBox 7"/>
        <xdr:cNvSpPr txBox="1"/>
      </xdr:nvSpPr>
      <xdr:spPr>
        <a:xfrm>
          <a:off x="5098676" y="15945970"/>
          <a:ext cx="69916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600" b="1"/>
            <a:t>42,3%</a:t>
          </a:r>
        </a:p>
      </xdr:txBody>
    </xdr:sp>
    <xdr:clientData/>
  </xdr:oneCellAnchor>
  <xdr:oneCellAnchor>
    <xdr:from>
      <xdr:col>0</xdr:col>
      <xdr:colOff>730669</xdr:colOff>
      <xdr:row>79</xdr:row>
      <xdr:rowOff>19482</xdr:rowOff>
    </xdr:from>
    <xdr:ext cx="374141" cy="763479"/>
    <xdr:sp macro="" textlink="">
      <xdr:nvSpPr>
        <xdr:cNvPr id="9" name="TextBox 8"/>
        <xdr:cNvSpPr txBox="1"/>
      </xdr:nvSpPr>
      <xdr:spPr>
        <a:xfrm rot="16200000">
          <a:off x="536000" y="13089710"/>
          <a:ext cx="763479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800" b="1"/>
            <a:t>19,4%</a:t>
          </a:r>
        </a:p>
      </xdr:txBody>
    </xdr:sp>
    <xdr:clientData/>
  </xdr:oneCellAnchor>
  <xdr:twoCellAnchor editAs="oneCell">
    <xdr:from>
      <xdr:col>16</xdr:col>
      <xdr:colOff>0</xdr:colOff>
      <xdr:row>64</xdr:row>
      <xdr:rowOff>0</xdr:rowOff>
    </xdr:from>
    <xdr:to>
      <xdr:col>30</xdr:col>
      <xdr:colOff>425823</xdr:colOff>
      <xdr:row>100</xdr:row>
      <xdr:rowOff>45723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618" y="10522324"/>
          <a:ext cx="8897470" cy="5794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461963</xdr:colOff>
      <xdr:row>33</xdr:row>
      <xdr:rowOff>61913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9732</xdr:colOff>
      <xdr:row>34</xdr:row>
      <xdr:rowOff>28782</xdr:rowOff>
    </xdr:from>
    <xdr:to>
      <xdr:col>11</xdr:col>
      <xdr:colOff>590343</xdr:colOff>
      <xdr:row>67</xdr:row>
      <xdr:rowOff>90695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24</xdr:col>
      <xdr:colOff>587470</xdr:colOff>
      <xdr:row>33</xdr:row>
      <xdr:rowOff>61913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9732</xdr:colOff>
      <xdr:row>34</xdr:row>
      <xdr:rowOff>28782</xdr:rowOff>
    </xdr:from>
    <xdr:to>
      <xdr:col>24</xdr:col>
      <xdr:colOff>564570</xdr:colOff>
      <xdr:row>67</xdr:row>
      <xdr:rowOff>90695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0.13731</cdr:x>
      <cdr:y>0.42425</cdr:y>
    </cdr:from>
    <cdr:to>
      <cdr:x>0.39404</cdr:x>
      <cdr:y>0.54502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0539" y="1163814"/>
          <a:ext cx="1440674" cy="331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No Algae in Årungen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0.21273</cdr:x>
      <cdr:y>0.04303</cdr:y>
    </cdr:from>
    <cdr:to>
      <cdr:x>0.46946</cdr:x>
      <cdr:y>0.1638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93800" y="118034"/>
          <a:ext cx="1440674" cy="331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Eutrophic </a:t>
          </a:r>
          <a:r>
            <a:rPr lang="en-GB" sz="1100" baseline="0"/>
            <a:t> lakes</a:t>
          </a:r>
          <a:endParaRPr lang="en-GB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0.21649</cdr:x>
      <cdr:y>0.20234</cdr:y>
    </cdr:from>
    <cdr:to>
      <cdr:x>0.50488</cdr:x>
      <cdr:y>0.37777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94644" y="555056"/>
          <a:ext cx="1324972" cy="481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Low aromaticity</a:t>
          </a:r>
          <a:r>
            <a:rPr lang="en-GB" sz="1100" baseline="0"/>
            <a:t> </a:t>
          </a:r>
        </a:p>
        <a:p xmlns:a="http://schemas.openxmlformats.org/drawingml/2006/main">
          <a:r>
            <a:rPr lang="en-GB" sz="1100" baseline="0"/>
            <a:t>in Nesøytjernet</a:t>
          </a:r>
          <a:endParaRPr lang="en-GB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0.20018</cdr:x>
      <cdr:y>0.09239</cdr:y>
    </cdr:from>
    <cdr:to>
      <cdr:x>0.40018</cdr:x>
      <cdr:y>0.42572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15230" y="25344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Correlated due to similar source </a:t>
          </a:r>
          <a:br>
            <a:rPr lang="en-GB" sz="1100"/>
          </a:br>
          <a:r>
            <a:rPr lang="en-GB" sz="1100"/>
            <a:t>- weathering of carbonate minerals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0.20018</cdr:x>
      <cdr:y>0.03112</cdr:y>
    </cdr:from>
    <cdr:to>
      <cdr:x>0.40018</cdr:x>
      <cdr:y>0.36445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11322" y="85356"/>
          <a:ext cx="910502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Correlated due to similar source </a:t>
          </a:r>
          <a:br>
            <a:rPr lang="en-GB" sz="1100"/>
          </a:br>
          <a:r>
            <a:rPr lang="en-GB" sz="1100"/>
            <a:t>- weathering of feldspar minerals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0.47367</cdr:x>
      <cdr:y>0.02893</cdr:y>
    </cdr:from>
    <cdr:to>
      <cdr:x>0.67367</cdr:x>
      <cdr:y>0.22071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169524" y="79367"/>
          <a:ext cx="916057" cy="526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Very high values </a:t>
          </a:r>
          <a:br>
            <a:rPr lang="en-GB" sz="1100"/>
          </a:br>
          <a:r>
            <a:rPr lang="en-GB" sz="1100"/>
            <a:t>in Akerelva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0.75122</cdr:x>
      <cdr:y>0.01852</cdr:y>
    </cdr:from>
    <cdr:to>
      <cdr:x>0.95122</cdr:x>
      <cdr:y>0.18791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1412" y="50792"/>
          <a:ext cx="918883" cy="464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Low aromaticity</a:t>
          </a:r>
          <a:r>
            <a:rPr lang="en-GB" sz="1100" baseline="0"/>
            <a:t> </a:t>
          </a:r>
        </a:p>
        <a:p xmlns:a="http://schemas.openxmlformats.org/drawingml/2006/main">
          <a:r>
            <a:rPr lang="en-GB" sz="1100" baseline="0"/>
            <a:t>in Nesøytjernet</a:t>
          </a:r>
          <a:endParaRPr lang="en-GB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0.66098</cdr:x>
      <cdr:y>0</cdr:y>
    </cdr:from>
    <cdr:to>
      <cdr:x>1</cdr:x>
      <cdr:y>0.1634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36796" y="0"/>
          <a:ext cx="1557616" cy="448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Small molecules </a:t>
          </a:r>
          <a:r>
            <a:rPr lang="en-GB" sz="1100" baseline="0"/>
            <a:t>in </a:t>
          </a:r>
          <a:br>
            <a:rPr lang="en-GB" sz="1100" baseline="0"/>
          </a:br>
          <a:r>
            <a:rPr lang="en-GB" sz="1100" baseline="0"/>
            <a:t>Oligothrophic lakes</a:t>
          </a:r>
          <a:endParaRPr lang="en-GB" sz="1100"/>
        </a:p>
      </cdr:txBody>
    </cdr:sp>
  </cdr:relSizeAnchor>
  <cdr:relSizeAnchor xmlns:cdr="http://schemas.openxmlformats.org/drawingml/2006/chartDrawing">
    <cdr:from>
      <cdr:x>0.16228</cdr:x>
      <cdr:y>0.0226</cdr:y>
    </cdr:from>
    <cdr:to>
      <cdr:x>0.36228</cdr:x>
      <cdr:y>0.19199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45565" y="62006"/>
          <a:ext cx="918883" cy="464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Large molecules </a:t>
          </a:r>
          <a:endParaRPr lang="en-GB" sz="1100" baseline="0"/>
        </a:p>
        <a:p xmlns:a="http://schemas.openxmlformats.org/drawingml/2006/main">
          <a:r>
            <a:rPr lang="en-GB" sz="1100" baseline="0"/>
            <a:t>in dystrophic lakes</a:t>
          </a:r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ww_docs/KJM_MEF_4010/Module%2019%20H13%20Worksheet%20for%20water%20data%20231024%20ve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data"/>
      <sheetName val="Statistics"/>
      <sheetName val="IC major anions"/>
      <sheetName val="ICP-OES major cations"/>
      <sheetName val="ICP-MS trace metal"/>
      <sheetName val="PO4"/>
      <sheetName val="DOC"/>
      <sheetName val="Alkalinity"/>
      <sheetName val="Raw ICP-MS trace metal data"/>
      <sheetName val="206Pb"/>
      <sheetName val="207Pb"/>
      <sheetName val="208Pb"/>
    </sheetNames>
    <sheetDataSet>
      <sheetData sheetId="0">
        <row r="2">
          <cell r="BM2" t="str">
            <v>Org. charge</v>
          </cell>
          <cell r="BP2" t="str">
            <v>H+</v>
          </cell>
          <cell r="BQ2" t="str">
            <v>Ca2+</v>
          </cell>
          <cell r="BR2" t="str">
            <v>Mg2+</v>
          </cell>
          <cell r="BS2" t="str">
            <v>Na+</v>
          </cell>
          <cell r="BT2" t="str">
            <v>K+</v>
          </cell>
          <cell r="BU2" t="str">
            <v>SO42-</v>
          </cell>
          <cell r="BV2" t="str">
            <v>NO3-</v>
          </cell>
          <cell r="BW2" t="str">
            <v>Cl-</v>
          </cell>
          <cell r="BX2" t="str">
            <v>Tot-F</v>
          </cell>
          <cell r="BY2" t="str">
            <v>PO43-</v>
          </cell>
          <cell r="BZ2" t="str">
            <v>Alkalinity</v>
          </cell>
        </row>
        <row r="19">
          <cell r="BO19" t="str">
            <v>Årungen</v>
          </cell>
          <cell r="BP19">
            <v>4.1686938347033513E-2</v>
          </cell>
          <cell r="BQ19">
            <v>1249.3275662977035</v>
          </cell>
          <cell r="BR19">
            <v>453.49622774933027</v>
          </cell>
          <cell r="BS19">
            <v>914.75789999890128</v>
          </cell>
          <cell r="BT19">
            <v>124.90022645860535</v>
          </cell>
        </row>
        <row r="20">
          <cell r="BU20">
            <v>279.4694203037501</v>
          </cell>
          <cell r="BV20">
            <v>113.02145967011192</v>
          </cell>
          <cell r="BW20">
            <v>983.78169547252264</v>
          </cell>
          <cell r="BX20">
            <v>12.943055541371958</v>
          </cell>
          <cell r="BY20">
            <v>0.51425733846282995</v>
          </cell>
          <cell r="BZ20">
            <v>885.03333935433432</v>
          </cell>
          <cell r="CA20">
            <v>0</v>
          </cell>
        </row>
        <row r="22">
          <cell r="BO22" t="str">
            <v>Akerselva</v>
          </cell>
          <cell r="BP22">
            <v>2.9512092266663778E-2</v>
          </cell>
          <cell r="BQ22">
            <v>464.1344049527238</v>
          </cell>
          <cell r="BR22">
            <v>150.9570562913604</v>
          </cell>
          <cell r="BS22">
            <v>535.55439243163823</v>
          </cell>
          <cell r="BT22">
            <v>31.34580972580056</v>
          </cell>
        </row>
        <row r="23">
          <cell r="BU23">
            <v>140.95367723979746</v>
          </cell>
          <cell r="BV23">
            <v>20.094584251107008</v>
          </cell>
          <cell r="BW23">
            <v>466.43887578643898</v>
          </cell>
          <cell r="BX23">
            <v>4.5810414681776477</v>
          </cell>
          <cell r="BY23">
            <v>1.8425905167319754</v>
          </cell>
          <cell r="BZ23">
            <v>110.79899835272064</v>
          </cell>
          <cell r="CA23">
            <v>0</v>
          </cell>
        </row>
        <row r="25">
          <cell r="BO25" t="str">
            <v>Sværsvann</v>
          </cell>
          <cell r="BP25">
            <v>0.56234132519034874</v>
          </cell>
          <cell r="BQ25">
            <v>271.88352409040209</v>
          </cell>
          <cell r="BR25">
            <v>64.691693571866722</v>
          </cell>
          <cell r="BS25">
            <v>333.11188064302786</v>
          </cell>
          <cell r="BT25">
            <v>20.323223684205537</v>
          </cell>
        </row>
        <row r="26">
          <cell r="BU26">
            <v>55.571750129536277</v>
          </cell>
          <cell r="BV26">
            <v>12.372140543229138</v>
          </cell>
          <cell r="BW26">
            <v>309.12904511492502</v>
          </cell>
          <cell r="BX26">
            <v>3.2991503956156878</v>
          </cell>
          <cell r="BY26">
            <v>6.3125315654440697E-2</v>
          </cell>
          <cell r="BZ26">
            <v>190.72396207725149</v>
          </cell>
          <cell r="CA26">
            <v>0</v>
          </cell>
        </row>
        <row r="28">
          <cell r="BO28" t="str">
            <v>Bogstadvannet</v>
          </cell>
          <cell r="BP28">
            <v>0.14791083881682041</v>
          </cell>
          <cell r="BQ28">
            <v>302.83286164202235</v>
          </cell>
          <cell r="BR28">
            <v>45.159627849685336</v>
          </cell>
          <cell r="BS28">
            <v>71.458731811447109</v>
          </cell>
          <cell r="BT28">
            <v>12.13176030390896</v>
          </cell>
        </row>
        <row r="29">
          <cell r="BU29">
            <v>62.050279145016773</v>
          </cell>
          <cell r="BV29">
            <v>21.301952464071096</v>
          </cell>
          <cell r="BW29">
            <v>74.084981268839016</v>
          </cell>
          <cell r="BX29">
            <v>4.1231549006771813</v>
          </cell>
          <cell r="BY29">
            <v>6.3125315654440697E-2</v>
          </cell>
          <cell r="BZ29">
            <v>210.30078665581024</v>
          </cell>
          <cell r="CA29">
            <v>0</v>
          </cell>
        </row>
        <row r="31">
          <cell r="BO31" t="str">
            <v>Lysakerelva</v>
          </cell>
          <cell r="BP31">
            <v>0.25118864315095779</v>
          </cell>
          <cell r="BQ31">
            <v>421.74089610535339</v>
          </cell>
          <cell r="BR31">
            <v>73.826619404587504</v>
          </cell>
          <cell r="BS31">
            <v>117.0823156054133</v>
          </cell>
          <cell r="BT31">
            <v>15.541342350423452</v>
          </cell>
        </row>
        <row r="32">
          <cell r="BU32">
            <v>98.831544636916732</v>
          </cell>
          <cell r="BV32">
            <v>22.580694820869834</v>
          </cell>
          <cell r="BW32">
            <v>104.5369364671419</v>
          </cell>
          <cell r="BX32">
            <v>4.3760855852845566</v>
          </cell>
          <cell r="BY32">
            <v>0.13831398612250556</v>
          </cell>
          <cell r="BZ32">
            <v>315.150491258344</v>
          </cell>
          <cell r="CA32">
            <v>0</v>
          </cell>
        </row>
        <row r="34">
          <cell r="BO34" t="str">
            <v>Østensjøvann</v>
          </cell>
          <cell r="BP34">
            <v>5.2480746024977189E-2</v>
          </cell>
          <cell r="BQ34">
            <v>1654.531163637108</v>
          </cell>
          <cell r="BR34">
            <v>466.97046234872317</v>
          </cell>
          <cell r="BS34">
            <v>865.37209221349849</v>
          </cell>
          <cell r="BT34">
            <v>93.762091824651847</v>
          </cell>
        </row>
        <row r="35">
          <cell r="BU35">
            <v>392.22092432931862</v>
          </cell>
          <cell r="BV35">
            <v>38.364176324307188</v>
          </cell>
          <cell r="BW35">
            <v>709.07492764518429</v>
          </cell>
          <cell r="BX35">
            <v>7.3025829958268194</v>
          </cell>
          <cell r="BY35">
            <v>2.9704205737529485</v>
          </cell>
          <cell r="BZ35">
            <v>1345.4488349542421</v>
          </cell>
          <cell r="CA35">
            <v>0</v>
          </cell>
        </row>
        <row r="37">
          <cell r="BO37" t="str">
            <v>Gjersjøen</v>
          </cell>
          <cell r="BP37">
            <v>3.5481338923357426E-2</v>
          </cell>
          <cell r="BQ37">
            <v>1161.8206334519548</v>
          </cell>
          <cell r="BR37">
            <v>293.9822340860153</v>
          </cell>
          <cell r="BS37">
            <v>853.1137092147718</v>
          </cell>
          <cell r="BT37">
            <v>77.580352159784766</v>
          </cell>
        </row>
        <row r="38">
          <cell r="BU38">
            <v>370.80521221449959</v>
          </cell>
          <cell r="BV38">
            <v>68.476355922041535</v>
          </cell>
          <cell r="BW38">
            <v>881.5829104718398</v>
          </cell>
          <cell r="BX38">
            <v>7.9284829702419604</v>
          </cell>
          <cell r="BY38">
            <v>0.13831398612250556</v>
          </cell>
          <cell r="BZ38">
            <v>710.70463796542924</v>
          </cell>
          <cell r="CA38">
            <v>0</v>
          </cell>
        </row>
        <row r="40">
          <cell r="BO40" t="str">
            <v>Maridalsvannet</v>
          </cell>
          <cell r="BP40">
            <v>0.20892961308540389</v>
          </cell>
          <cell r="BQ40">
            <v>129.26137519727158</v>
          </cell>
          <cell r="BR40">
            <v>15.522682527521889</v>
          </cell>
          <cell r="BS40">
            <v>44.38033029698353</v>
          </cell>
          <cell r="BT40">
            <v>8.3033173846536528</v>
          </cell>
        </row>
        <row r="41">
          <cell r="BU41">
            <v>42.876114277136558</v>
          </cell>
          <cell r="BV41">
            <v>19.495707505041018</v>
          </cell>
          <cell r="BW41">
            <v>45.668162762036026</v>
          </cell>
          <cell r="BX41">
            <v>3.5626360733597537</v>
          </cell>
          <cell r="BY41">
            <v>1.2999535342397457E-2</v>
          </cell>
          <cell r="BZ41">
            <v>80.275484903459301</v>
          </cell>
          <cell r="CA41">
            <v>0</v>
          </cell>
        </row>
        <row r="43">
          <cell r="BO43" t="str">
            <v>Nesøytjernet</v>
          </cell>
          <cell r="BP43">
            <v>1.5848931924611134E-2</v>
          </cell>
          <cell r="BQ43">
            <v>1569.5513103341766</v>
          </cell>
          <cell r="BR43">
            <v>389.151183090291</v>
          </cell>
          <cell r="BS43">
            <v>688.4013599815454</v>
          </cell>
          <cell r="BT43">
            <v>63.287763042585624</v>
          </cell>
        </row>
        <row r="44">
          <cell r="BU44">
            <v>149.72092421819798</v>
          </cell>
          <cell r="BV44">
            <v>13.778463794285559</v>
          </cell>
          <cell r="BW44">
            <v>374.51644392192884</v>
          </cell>
          <cell r="BX44">
            <v>3.5946633654655851</v>
          </cell>
          <cell r="BY44">
            <v>1.2999535342397457E-2</v>
          </cell>
          <cell r="BZ44">
            <v>1500.9347710876136</v>
          </cell>
          <cell r="CA44">
            <v>0</v>
          </cell>
        </row>
        <row r="46">
          <cell r="BO46" t="str">
            <v>Lutvann</v>
          </cell>
          <cell r="BP46">
            <v>5.8884365535558779E-2</v>
          </cell>
          <cell r="BQ46">
            <v>382.74455972646592</v>
          </cell>
          <cell r="BR46">
            <v>95.210197859841514</v>
          </cell>
          <cell r="BS46">
            <v>83.828499120810321</v>
          </cell>
          <cell r="BT46">
            <v>14.228605847811668</v>
          </cell>
        </row>
        <row r="47">
          <cell r="BU47">
            <v>177.2117085205779</v>
          </cell>
          <cell r="BV47">
            <v>13.977359362543515</v>
          </cell>
          <cell r="BW47">
            <v>76.051344573766841</v>
          </cell>
          <cell r="BX47">
            <v>3.1395794496116567</v>
          </cell>
          <cell r="BY47">
            <v>0</v>
          </cell>
          <cell r="BZ47">
            <v>196.80765050898876</v>
          </cell>
          <cell r="CA47">
            <v>0</v>
          </cell>
        </row>
        <row r="49">
          <cell r="BO49" t="str">
            <v>Kolbotntjernet</v>
          </cell>
          <cell r="BP49">
            <v>3.9810717055349568E-2</v>
          </cell>
          <cell r="BQ49">
            <v>1406.1542349102774</v>
          </cell>
          <cell r="BR49">
            <v>309.40234884165022</v>
          </cell>
          <cell r="BS49">
            <v>1177.6737437304007</v>
          </cell>
          <cell r="BT49">
            <v>101.38439282045911</v>
          </cell>
        </row>
        <row r="50">
          <cell r="BU50">
            <v>443.39337188307553</v>
          </cell>
          <cell r="BV50">
            <v>16.543371533261933</v>
          </cell>
          <cell r="BW50">
            <v>1182.8447303508256</v>
          </cell>
          <cell r="BZ50">
            <v>1042.613873279319</v>
          </cell>
          <cell r="CA5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549"/>
  <sheetViews>
    <sheetView tabSelected="1" showWhiteSpace="0" topLeftCell="B1" zoomScale="85" zoomScaleNormal="85" zoomScalePageLayoutView="125" workbookViewId="0">
      <pane xSplit="2" topLeftCell="AQ1" activePane="topRight" state="frozenSplit"/>
      <selection activeCell="V9" sqref="V9"/>
      <selection pane="topRight" activeCell="BH50" sqref="BH50"/>
    </sheetView>
  </sheetViews>
  <sheetFormatPr defaultColWidth="8.85546875" defaultRowHeight="15" x14ac:dyDescent="0.25"/>
  <cols>
    <col min="1" max="1" width="9.140625" style="43" hidden="1" customWidth="1"/>
    <col min="2" max="2" width="9.28515625" style="30" customWidth="1"/>
    <col min="3" max="3" width="20.42578125" style="29" customWidth="1"/>
    <col min="4" max="4" width="21.7109375" style="29" customWidth="1"/>
    <col min="5" max="5" width="16.7109375" style="42" customWidth="1"/>
    <col min="6" max="6" width="8" style="33" customWidth="1"/>
    <col min="7" max="8" width="27.28515625" style="5" customWidth="1"/>
    <col min="9" max="9" width="8.85546875" style="67" customWidth="1"/>
    <col min="10" max="10" width="15.140625" style="70" customWidth="1"/>
    <col min="11" max="11" width="12" style="74" customWidth="1"/>
    <col min="12" max="12" width="14.42578125" style="78" customWidth="1"/>
    <col min="13" max="13" width="11.42578125" style="62" customWidth="1"/>
    <col min="14" max="15" width="15.85546875" style="62" customWidth="1"/>
    <col min="16" max="16" width="13" style="93" customWidth="1"/>
    <col min="17" max="18" width="13" style="130" customWidth="1"/>
    <col min="19" max="19" width="16.7109375" style="94" bestFit="1" customWidth="1"/>
    <col min="20" max="20" width="22.42578125" style="2" bestFit="1" customWidth="1"/>
    <col min="21" max="21" width="13" style="2" customWidth="1"/>
    <col min="22" max="22" width="16.42578125" style="93" bestFit="1" customWidth="1"/>
    <col min="23" max="23" width="16.42578125" style="94" customWidth="1"/>
    <col min="24" max="25" width="16.42578125" style="2" customWidth="1"/>
    <col min="26" max="27" width="16.42578125" style="2" hidden="1" customWidth="1"/>
    <col min="28" max="28" width="16.42578125" style="104" hidden="1" customWidth="1"/>
    <col min="29" max="29" width="20.140625" style="93" hidden="1" customWidth="1"/>
    <col min="30" max="30" width="15.7109375" style="94" bestFit="1" customWidth="1"/>
    <col min="31" max="31" width="16" style="2" bestFit="1" customWidth="1"/>
    <col min="32" max="32" width="16" style="2" customWidth="1"/>
    <col min="33" max="33" width="19" style="2" bestFit="1" customWidth="1"/>
    <col min="34" max="34" width="22.28515625" style="2" customWidth="1"/>
    <col min="35" max="35" width="28.42578125" style="165" bestFit="1" customWidth="1"/>
    <col min="36" max="36" width="14.140625" style="94" customWidth="1"/>
    <col min="37" max="39" width="9" style="2" customWidth="1"/>
    <col min="40" max="40" width="9" style="93" customWidth="1"/>
    <col min="41" max="41" width="9" style="130" customWidth="1"/>
    <col min="42" max="42" width="15.42578125" style="106" bestFit="1" customWidth="1"/>
    <col min="43" max="43" width="16.140625" style="32" bestFit="1" customWidth="1"/>
    <col min="44" max="44" width="8.85546875" style="1" customWidth="1"/>
    <col min="45" max="45" width="16.140625" style="32" customWidth="1"/>
    <col min="46" max="46" width="0" style="1" hidden="1" customWidth="1"/>
    <col min="47" max="47" width="14.42578125" style="1" hidden="1" customWidth="1"/>
    <col min="48" max="54" width="8.85546875" style="1" hidden="1" customWidth="1"/>
    <col min="55" max="55" width="8.85546875" style="1" customWidth="1"/>
    <col min="56" max="56" width="10" style="1" customWidth="1"/>
    <col min="57" max="58" width="17.28515625" style="1" bestFit="1" customWidth="1"/>
    <col min="59" max="59" width="17.28515625" style="1" customWidth="1"/>
    <col min="60" max="60" width="8.85546875" style="1"/>
    <col min="61" max="61" width="20.140625" style="1" bestFit="1" customWidth="1"/>
    <col min="62" max="67" width="13" style="1" bestFit="1" customWidth="1"/>
    <col min="68" max="69" width="13" style="4" bestFit="1" customWidth="1"/>
    <col min="70" max="70" width="21.42578125" style="4" bestFit="1" customWidth="1"/>
    <col min="71" max="71" width="14.42578125" style="45" bestFit="1" customWidth="1"/>
    <col min="72" max="73" width="8.85546875" style="58"/>
    <col min="74" max="74" width="13" style="3" bestFit="1" customWidth="1"/>
    <col min="75" max="75" width="8.42578125" style="3" customWidth="1"/>
    <col min="76" max="76" width="8.85546875" style="111" customWidth="1"/>
    <col min="77" max="78" width="8.85546875" style="2" hidden="1" customWidth="1"/>
    <col min="79" max="79" width="8.85546875" style="3" hidden="1" customWidth="1"/>
    <col min="80" max="87" width="8.85546875" style="111" hidden="1" customWidth="1"/>
    <col min="88" max="88" width="8.85546875" style="3" hidden="1" customWidth="1"/>
    <col min="89" max="94" width="8.85546875" style="111" hidden="1" customWidth="1"/>
    <col min="95" max="96" width="9" style="111" hidden="1" customWidth="1"/>
    <col min="97" max="97" width="8.85546875" style="3" hidden="1" customWidth="1"/>
    <col min="98" max="98" width="13" style="115" bestFit="1" customWidth="1"/>
    <col min="99" max="100" width="13" style="116" bestFit="1" customWidth="1"/>
    <col min="101" max="101" width="13" bestFit="1" customWidth="1"/>
  </cols>
  <sheetData>
    <row r="1" spans="1:102" s="16" customFormat="1" ht="15.75" customHeight="1" x14ac:dyDescent="0.25">
      <c r="A1" s="37"/>
      <c r="B1" s="38"/>
      <c r="C1" s="37"/>
      <c r="D1" s="30" t="s">
        <v>69</v>
      </c>
      <c r="E1" s="39" t="s">
        <v>70</v>
      </c>
      <c r="F1" s="40"/>
      <c r="G1" s="13"/>
      <c r="H1" s="13"/>
      <c r="I1" s="65"/>
      <c r="J1" s="68" t="s">
        <v>71</v>
      </c>
      <c r="K1" s="71"/>
      <c r="L1" s="75"/>
      <c r="M1" s="61" t="s">
        <v>31</v>
      </c>
      <c r="N1" s="141" t="s">
        <v>60</v>
      </c>
      <c r="O1" s="141"/>
      <c r="P1" s="96" t="s">
        <v>28</v>
      </c>
      <c r="Q1" s="155"/>
      <c r="R1" s="155"/>
      <c r="S1" s="135" t="s">
        <v>115</v>
      </c>
      <c r="T1" s="135"/>
      <c r="U1" s="135"/>
      <c r="V1" s="135"/>
      <c r="W1" s="135" t="s">
        <v>123</v>
      </c>
      <c r="X1" s="135"/>
      <c r="Y1" s="135"/>
      <c r="Z1" s="135"/>
      <c r="AA1" s="135"/>
      <c r="AB1" s="135"/>
      <c r="AC1" s="90"/>
      <c r="AD1" s="175" t="s">
        <v>117</v>
      </c>
      <c r="AE1" s="135"/>
      <c r="AF1" s="135"/>
      <c r="AG1" s="133"/>
      <c r="AH1" s="133"/>
      <c r="AI1" s="90"/>
      <c r="AJ1" s="135" t="s">
        <v>20</v>
      </c>
      <c r="AK1" s="135"/>
      <c r="AL1" s="135"/>
      <c r="AM1" s="135"/>
      <c r="AN1" s="135"/>
      <c r="AO1" s="144" t="s">
        <v>142</v>
      </c>
      <c r="AP1" s="105" t="s">
        <v>32</v>
      </c>
      <c r="AQ1" s="59" t="s">
        <v>21</v>
      </c>
      <c r="AR1" s="49"/>
      <c r="AS1" s="59"/>
      <c r="AT1" s="8"/>
      <c r="AU1" s="48"/>
      <c r="AV1" s="49" t="s">
        <v>3</v>
      </c>
      <c r="AW1" s="49"/>
      <c r="AX1" s="49"/>
      <c r="AY1" s="49"/>
      <c r="AZ1" s="49"/>
      <c r="BA1" s="49"/>
      <c r="BB1" s="49"/>
      <c r="BC1" s="49"/>
      <c r="BD1" s="52"/>
      <c r="BE1" s="53" t="s">
        <v>4</v>
      </c>
      <c r="BF1" s="53" t="s">
        <v>5</v>
      </c>
      <c r="BG1" s="53"/>
      <c r="BH1" s="8"/>
      <c r="BI1" s="11"/>
      <c r="BJ1" s="12"/>
      <c r="BK1" s="12"/>
      <c r="BL1" s="12"/>
      <c r="BM1" s="12"/>
      <c r="BN1" s="12"/>
      <c r="BO1" s="12"/>
      <c r="BP1" s="12"/>
      <c r="BQ1" s="12"/>
      <c r="BR1" s="12"/>
      <c r="BS1" s="9" t="s">
        <v>61</v>
      </c>
      <c r="BT1" s="13"/>
      <c r="BU1" s="13"/>
      <c r="BV1" s="134" t="s">
        <v>62</v>
      </c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</row>
    <row r="2" spans="1:102" s="16" customFormat="1" ht="18" x14ac:dyDescent="0.35">
      <c r="A2" s="37"/>
      <c r="B2" s="30" t="s">
        <v>63</v>
      </c>
      <c r="C2" s="30" t="s">
        <v>64</v>
      </c>
      <c r="D2" s="30" t="s">
        <v>65</v>
      </c>
      <c r="E2" s="39" t="s">
        <v>66</v>
      </c>
      <c r="F2" s="40" t="s">
        <v>67</v>
      </c>
      <c r="G2" s="13"/>
      <c r="H2" s="13"/>
      <c r="I2" s="65"/>
      <c r="J2" s="69" t="s">
        <v>68</v>
      </c>
      <c r="K2" s="72" t="s">
        <v>101</v>
      </c>
      <c r="L2" s="75" t="s">
        <v>35</v>
      </c>
      <c r="M2" s="17" t="s">
        <v>36</v>
      </c>
      <c r="N2" s="17" t="s">
        <v>37</v>
      </c>
      <c r="O2" s="17" t="s">
        <v>140</v>
      </c>
      <c r="P2" s="97" t="s">
        <v>29</v>
      </c>
      <c r="Q2" s="156" t="s">
        <v>146</v>
      </c>
      <c r="R2" s="156" t="s">
        <v>147</v>
      </c>
      <c r="S2" s="89" t="s">
        <v>38</v>
      </c>
      <c r="T2" s="10" t="s">
        <v>39</v>
      </c>
      <c r="U2" s="10" t="s">
        <v>40</v>
      </c>
      <c r="V2" s="90" t="s">
        <v>41</v>
      </c>
      <c r="W2" s="89" t="s">
        <v>1</v>
      </c>
      <c r="X2" s="87" t="s">
        <v>2</v>
      </c>
      <c r="Y2" s="87" t="s">
        <v>114</v>
      </c>
      <c r="Z2" s="87" t="s">
        <v>118</v>
      </c>
      <c r="AA2" s="87" t="s">
        <v>119</v>
      </c>
      <c r="AB2" s="86" t="s">
        <v>120</v>
      </c>
      <c r="AC2" s="90" t="s">
        <v>121</v>
      </c>
      <c r="AD2" s="89" t="s">
        <v>1</v>
      </c>
      <c r="AE2" s="10" t="s">
        <v>2</v>
      </c>
      <c r="AF2" s="80" t="s">
        <v>114</v>
      </c>
      <c r="AG2" s="87"/>
      <c r="AH2" s="87"/>
      <c r="AI2" s="90"/>
      <c r="AJ2" s="89" t="s">
        <v>97</v>
      </c>
      <c r="AK2" s="64" t="s">
        <v>98</v>
      </c>
      <c r="AL2" s="10" t="s">
        <v>42</v>
      </c>
      <c r="AM2" s="10" t="s">
        <v>72</v>
      </c>
      <c r="AN2" s="90" t="s">
        <v>112</v>
      </c>
      <c r="AO2" s="145" t="s">
        <v>143</v>
      </c>
      <c r="AP2" s="105" t="s">
        <v>33</v>
      </c>
      <c r="AQ2" s="59" t="s">
        <v>34</v>
      </c>
      <c r="AR2" s="49" t="s">
        <v>148</v>
      </c>
      <c r="AS2" s="59" t="s">
        <v>113</v>
      </c>
      <c r="AT2" s="18"/>
      <c r="AU2" s="48" t="s">
        <v>6</v>
      </c>
      <c r="AV2" s="49" t="s">
        <v>7</v>
      </c>
      <c r="AW2" s="49" t="s">
        <v>8</v>
      </c>
      <c r="AX2" s="49" t="s">
        <v>9</v>
      </c>
      <c r="AY2" s="49" t="s">
        <v>10</v>
      </c>
      <c r="AZ2" s="49" t="s">
        <v>11</v>
      </c>
      <c r="BA2" s="49" t="s">
        <v>12</v>
      </c>
      <c r="BB2" s="49" t="s">
        <v>13</v>
      </c>
      <c r="BC2" s="49"/>
      <c r="BD2" s="52" t="s">
        <v>14</v>
      </c>
      <c r="BE2" s="54" t="s">
        <v>15</v>
      </c>
      <c r="BF2" s="54" t="s">
        <v>16</v>
      </c>
      <c r="BG2" s="147" t="s">
        <v>144</v>
      </c>
      <c r="BH2" s="18"/>
      <c r="BI2" s="11" t="s">
        <v>95</v>
      </c>
      <c r="BJ2" s="7" t="s">
        <v>38</v>
      </c>
      <c r="BK2" s="7" t="s">
        <v>39</v>
      </c>
      <c r="BL2" s="7" t="s">
        <v>40</v>
      </c>
      <c r="BM2" s="7" t="s">
        <v>41</v>
      </c>
      <c r="BN2" s="64" t="s">
        <v>97</v>
      </c>
      <c r="BO2" s="63" t="s">
        <v>98</v>
      </c>
      <c r="BP2" s="10" t="s">
        <v>42</v>
      </c>
      <c r="BQ2" s="8" t="s">
        <v>72</v>
      </c>
      <c r="BR2" s="8" t="s">
        <v>23</v>
      </c>
      <c r="BS2" s="9" t="s">
        <v>150</v>
      </c>
      <c r="BT2" s="13" t="s">
        <v>149</v>
      </c>
      <c r="BU2" s="13"/>
      <c r="BV2" s="9" t="s">
        <v>96</v>
      </c>
      <c r="BW2" s="14" t="s">
        <v>96</v>
      </c>
      <c r="BX2" s="108" t="s">
        <v>80</v>
      </c>
      <c r="BY2" s="112" t="s">
        <v>81</v>
      </c>
      <c r="BZ2" s="112" t="s">
        <v>81</v>
      </c>
      <c r="CA2" s="4" t="s">
        <v>81</v>
      </c>
      <c r="CB2" s="109" t="s">
        <v>90</v>
      </c>
      <c r="CC2" s="109" t="s">
        <v>91</v>
      </c>
      <c r="CD2" s="109" t="s">
        <v>92</v>
      </c>
      <c r="CE2" s="109" t="s">
        <v>93</v>
      </c>
      <c r="CF2" s="109" t="s">
        <v>94</v>
      </c>
      <c r="CG2" s="109" t="s">
        <v>43</v>
      </c>
      <c r="CH2" s="109" t="s">
        <v>44</v>
      </c>
      <c r="CI2" s="109" t="s">
        <v>45</v>
      </c>
      <c r="CJ2" s="15" t="s">
        <v>46</v>
      </c>
      <c r="CK2" s="113" t="s">
        <v>47</v>
      </c>
      <c r="CL2" s="113" t="s">
        <v>48</v>
      </c>
      <c r="CM2" s="113" t="s">
        <v>49</v>
      </c>
      <c r="CN2" s="113" t="s">
        <v>50</v>
      </c>
      <c r="CO2" s="113" t="s">
        <v>82</v>
      </c>
      <c r="CP2" s="113" t="s">
        <v>83</v>
      </c>
      <c r="CQ2" s="113" t="s">
        <v>84</v>
      </c>
      <c r="CR2" s="113" t="s">
        <v>85</v>
      </c>
      <c r="CS2" s="19" t="s">
        <v>86</v>
      </c>
      <c r="CT2" s="114" t="s">
        <v>87</v>
      </c>
      <c r="CU2" s="7" t="s">
        <v>88</v>
      </c>
      <c r="CV2" s="12" t="s">
        <v>89</v>
      </c>
      <c r="CW2" s="20" t="s">
        <v>51</v>
      </c>
    </row>
    <row r="3" spans="1:102" s="16" customFormat="1" ht="17.25" x14ac:dyDescent="0.25">
      <c r="A3" s="37"/>
      <c r="B3" s="30" t="s">
        <v>73</v>
      </c>
      <c r="C3" s="30" t="s">
        <v>74</v>
      </c>
      <c r="D3" s="30"/>
      <c r="E3" s="39" t="s">
        <v>75</v>
      </c>
      <c r="F3" s="40" t="s">
        <v>76</v>
      </c>
      <c r="G3" s="13"/>
      <c r="H3" s="13"/>
      <c r="I3" s="65" t="s">
        <v>77</v>
      </c>
      <c r="J3" s="68" t="s">
        <v>124</v>
      </c>
      <c r="K3" s="71" t="s">
        <v>102</v>
      </c>
      <c r="L3" s="76" t="s">
        <v>52</v>
      </c>
      <c r="M3" s="21" t="s">
        <v>53</v>
      </c>
      <c r="N3" s="21" t="s">
        <v>53</v>
      </c>
      <c r="O3" s="21" t="s">
        <v>53</v>
      </c>
      <c r="P3" s="98" t="s">
        <v>30</v>
      </c>
      <c r="Q3" s="157"/>
      <c r="R3" s="157"/>
      <c r="S3" s="92" t="s">
        <v>54</v>
      </c>
      <c r="T3" s="22" t="s">
        <v>54</v>
      </c>
      <c r="U3" s="22" t="s">
        <v>54</v>
      </c>
      <c r="V3" s="91" t="s">
        <v>54</v>
      </c>
      <c r="W3" s="22" t="s">
        <v>141</v>
      </c>
      <c r="X3" s="22" t="s">
        <v>141</v>
      </c>
      <c r="Y3" s="22" t="s">
        <v>141</v>
      </c>
      <c r="Z3" s="22" t="s">
        <v>116</v>
      </c>
      <c r="AA3" s="22" t="s">
        <v>116</v>
      </c>
      <c r="AB3" s="102" t="s">
        <v>116</v>
      </c>
      <c r="AC3" s="91" t="s">
        <v>122</v>
      </c>
      <c r="AD3" s="92" t="s">
        <v>79</v>
      </c>
      <c r="AE3" s="92" t="s">
        <v>79</v>
      </c>
      <c r="AF3" s="92" t="s">
        <v>79</v>
      </c>
      <c r="AG3" s="22"/>
      <c r="AH3" s="22"/>
      <c r="AI3" s="162"/>
      <c r="AJ3" s="92" t="s">
        <v>99</v>
      </c>
      <c r="AK3" s="22" t="s">
        <v>100</v>
      </c>
      <c r="AL3" s="22" t="s">
        <v>54</v>
      </c>
      <c r="AM3" s="22" t="s">
        <v>54</v>
      </c>
      <c r="AN3" s="91" t="s">
        <v>54</v>
      </c>
      <c r="AO3" s="146" t="s">
        <v>59</v>
      </c>
      <c r="AP3" s="105" t="s">
        <v>59</v>
      </c>
      <c r="AQ3" s="59" t="s">
        <v>59</v>
      </c>
      <c r="AR3" s="59" t="s">
        <v>59</v>
      </c>
      <c r="AS3" s="59" t="s">
        <v>59</v>
      </c>
      <c r="AT3" s="31"/>
      <c r="AU3" s="48"/>
      <c r="AV3" s="49"/>
      <c r="AW3" s="49"/>
      <c r="AX3" s="49" t="s">
        <v>17</v>
      </c>
      <c r="AY3" s="49"/>
      <c r="AZ3" s="49" t="s">
        <v>18</v>
      </c>
      <c r="BA3" s="49"/>
      <c r="BB3" s="49" t="s">
        <v>18</v>
      </c>
      <c r="BC3" s="49"/>
      <c r="BD3" s="52" t="s">
        <v>19</v>
      </c>
      <c r="BE3" s="55" t="s">
        <v>19</v>
      </c>
      <c r="BF3" s="55" t="s">
        <v>19</v>
      </c>
      <c r="BG3" s="133" t="s">
        <v>145</v>
      </c>
      <c r="BH3" s="31"/>
      <c r="BI3" s="12" t="s">
        <v>78</v>
      </c>
      <c r="BJ3" s="12" t="s">
        <v>78</v>
      </c>
      <c r="BK3" s="12" t="s">
        <v>78</v>
      </c>
      <c r="BL3" s="12" t="s">
        <v>78</v>
      </c>
      <c r="BM3" s="12" t="s">
        <v>78</v>
      </c>
      <c r="BN3" s="12" t="s">
        <v>78</v>
      </c>
      <c r="BO3" s="12" t="s">
        <v>78</v>
      </c>
      <c r="BP3" s="12" t="s">
        <v>78</v>
      </c>
      <c r="BQ3" s="12" t="s">
        <v>78</v>
      </c>
      <c r="BR3" s="12" t="s">
        <v>78</v>
      </c>
      <c r="BS3" s="9" t="s">
        <v>78</v>
      </c>
      <c r="BT3" s="132" t="s">
        <v>78</v>
      </c>
      <c r="BU3" s="13"/>
      <c r="BV3" s="9" t="s">
        <v>78</v>
      </c>
      <c r="BW3" s="14" t="s">
        <v>55</v>
      </c>
      <c r="BX3" s="109" t="s">
        <v>58</v>
      </c>
      <c r="BY3" s="112" t="s">
        <v>56</v>
      </c>
      <c r="BZ3" s="112" t="s">
        <v>57</v>
      </c>
      <c r="CA3" s="4" t="s">
        <v>24</v>
      </c>
      <c r="CB3" s="109" t="s">
        <v>25</v>
      </c>
      <c r="CC3" s="109" t="s">
        <v>25</v>
      </c>
      <c r="CD3" s="109" t="s">
        <v>25</v>
      </c>
      <c r="CE3" s="109" t="s">
        <v>25</v>
      </c>
      <c r="CF3" s="109" t="s">
        <v>25</v>
      </c>
      <c r="CG3" s="109" t="s">
        <v>25</v>
      </c>
      <c r="CH3" s="109" t="s">
        <v>25</v>
      </c>
      <c r="CI3" s="109" t="s">
        <v>25</v>
      </c>
      <c r="CJ3" s="15" t="s">
        <v>25</v>
      </c>
      <c r="CK3" s="109" t="s">
        <v>26</v>
      </c>
      <c r="CL3" s="109" t="s">
        <v>26</v>
      </c>
      <c r="CM3" s="109" t="s">
        <v>26</v>
      </c>
      <c r="CN3" s="109" t="s">
        <v>26</v>
      </c>
      <c r="CO3" s="109" t="s">
        <v>26</v>
      </c>
      <c r="CP3" s="109" t="s">
        <v>26</v>
      </c>
      <c r="CQ3" s="109" t="s">
        <v>26</v>
      </c>
      <c r="CR3" s="109" t="s">
        <v>26</v>
      </c>
      <c r="CS3" s="15" t="s">
        <v>26</v>
      </c>
      <c r="CT3" s="7" t="s">
        <v>27</v>
      </c>
      <c r="CU3" s="7" t="s">
        <v>27</v>
      </c>
      <c r="CV3" s="7" t="s">
        <v>27</v>
      </c>
      <c r="CW3" s="6" t="s">
        <v>55</v>
      </c>
    </row>
    <row r="4" spans="1:102" ht="12.75" customHeight="1" x14ac:dyDescent="0.25">
      <c r="A4" s="37">
        <v>1</v>
      </c>
      <c r="B4" s="30">
        <v>1</v>
      </c>
      <c r="C4" s="29" t="s">
        <v>125</v>
      </c>
      <c r="D4" s="29" t="s">
        <v>22</v>
      </c>
      <c r="E4" s="42" t="s">
        <v>126</v>
      </c>
      <c r="F4" s="33">
        <v>2000</v>
      </c>
      <c r="G4" s="28"/>
      <c r="H4" s="28"/>
      <c r="I4" s="67">
        <v>6.6</v>
      </c>
      <c r="J4" s="121">
        <v>330.52588198335229</v>
      </c>
      <c r="K4" s="74">
        <v>26</v>
      </c>
      <c r="L4" s="78">
        <v>22.3</v>
      </c>
      <c r="M4" s="138">
        <v>0.56000000000000005</v>
      </c>
      <c r="N4" s="62">
        <v>7.1999999999999995E-2</v>
      </c>
      <c r="O4" s="62">
        <v>8.0000000000000002E-3</v>
      </c>
      <c r="P4" s="131">
        <v>10.220000000000001</v>
      </c>
      <c r="Q4" s="131">
        <f>M4/P4</f>
        <v>5.4794520547945209E-2</v>
      </c>
      <c r="R4" s="131">
        <f>M4/N4</f>
        <v>7.7777777777777795</v>
      </c>
      <c r="S4" s="34">
        <v>2.8795099999999998</v>
      </c>
      <c r="T4" s="123">
        <v>0.65432999999999997</v>
      </c>
      <c r="U4" s="34">
        <v>1.0488500000000001</v>
      </c>
      <c r="V4" s="160">
        <v>0</v>
      </c>
      <c r="W4" s="142">
        <v>0.230632</v>
      </c>
      <c r="X4" s="34">
        <v>0.13939699999999999</v>
      </c>
      <c r="Y4" s="34">
        <v>2.5004799999999998E-3</v>
      </c>
      <c r="Z4" s="34">
        <v>0.18412032467961925</v>
      </c>
      <c r="AA4" s="34">
        <v>0.20369230309638234</v>
      </c>
      <c r="AB4" s="103">
        <v>0.20544527564612836</v>
      </c>
      <c r="AC4" s="100">
        <f>Z4/AA4</f>
        <v>0.90391400107297082</v>
      </c>
      <c r="AD4" s="95">
        <f>W4/26.98</f>
        <v>8.5482579688658262E-3</v>
      </c>
      <c r="AE4" s="60">
        <f>X4/55.845</f>
        <v>2.4961411048437638E-3</v>
      </c>
      <c r="AF4" s="60">
        <f>Y4/54.938</f>
        <v>4.5514580072081248E-5</v>
      </c>
      <c r="AG4" s="34"/>
      <c r="AH4" s="34"/>
      <c r="AI4" s="163"/>
      <c r="AJ4" s="143">
        <v>2.3766628371267204</v>
      </c>
      <c r="AK4" s="143">
        <v>0.31458493518452096</v>
      </c>
      <c r="AL4" s="143">
        <v>3.1885976702667227</v>
      </c>
      <c r="AM4" s="143">
        <v>7.75555565655799E-2</v>
      </c>
      <c r="AN4" s="143"/>
      <c r="AO4" s="136">
        <v>48</v>
      </c>
      <c r="AP4" s="136">
        <v>40</v>
      </c>
      <c r="AQ4" s="136">
        <v>5</v>
      </c>
      <c r="AR4" s="56">
        <f>AO4-AP4</f>
        <v>8</v>
      </c>
      <c r="AS4" s="85">
        <f>AP4-AQ4</f>
        <v>35</v>
      </c>
      <c r="AT4" s="36"/>
      <c r="AU4" s="50">
        <v>3.42</v>
      </c>
      <c r="AV4" s="51">
        <f>10^-AU4</f>
        <v>3.8018939632056113E-4</v>
      </c>
      <c r="AW4" s="51">
        <v>3.1622776601683798E-2</v>
      </c>
      <c r="AX4" s="51">
        <f>+AV4*AW4</f>
        <v>1.2022644346174128E-5</v>
      </c>
      <c r="AY4" s="51">
        <v>5.0118723362727197E-7</v>
      </c>
      <c r="AZ4" s="51">
        <f>+((AY4/(10^(-I4)))*AX4)*1000000</f>
        <v>23.988329190194907</v>
      </c>
      <c r="BA4" s="51">
        <v>5.6234132519034893E-11</v>
      </c>
      <c r="BB4" s="51">
        <f>+(((AY4*BA4)/(10^(-I4)))*AX4)*1000000</f>
        <v>1.3489628825916535E-9</v>
      </c>
      <c r="BC4" s="169"/>
      <c r="BD4" s="56">
        <f>+AZ4+2*BB4</f>
        <v>23.988329192892834</v>
      </c>
      <c r="BE4" s="57">
        <f>+(5.5*(P4))*(10^-(0.96+0.9*I4-0.039*((I4)^2)))/((10^-(0.96+0.9*I4-0.039*((I4)^2)))+(10^-I4))</f>
        <v>54.052380658592611</v>
      </c>
      <c r="BF4" s="57">
        <f>+(5.5*(P4))*(10^-(0.96+0.9*4.5-0.039*((4.5)^2)))/((10^-(0.96+0.9*4.5-0.039*((4.5)^2)))+(10^-4.5))</f>
        <v>36.856366343908554</v>
      </c>
      <c r="BG4" s="62" t="e">
        <v>#N/A</v>
      </c>
      <c r="BH4" s="36"/>
      <c r="BI4" s="23">
        <f>(10^-I4)*1000000</f>
        <v>0.25118864315095779</v>
      </c>
      <c r="BJ4" s="25">
        <f>(S4/40.078*1000)*2</f>
        <v>143.6952941763561</v>
      </c>
      <c r="BK4" s="24">
        <f>(T4/24.312*1000)*2</f>
        <v>53.827739387956562</v>
      </c>
      <c r="BL4" s="24">
        <f>(U4/22.99*1000)</f>
        <v>45.622009569377994</v>
      </c>
      <c r="BM4" s="24">
        <f>(V4/39.102*1000)</f>
        <v>0</v>
      </c>
      <c r="BN4" s="24">
        <f>(AJ4/96.064*1000)*2</f>
        <v>49.480821892211871</v>
      </c>
      <c r="BO4" s="24">
        <f>(AK4/62.0067*1000)</f>
        <v>5.0734023127262207</v>
      </c>
      <c r="BP4" s="24">
        <f>(AL4/35.453*1000)</f>
        <v>89.938726490472519</v>
      </c>
      <c r="BQ4" s="23">
        <f>(AM4/18.998)*1000</f>
        <v>4.0823011140951619</v>
      </c>
      <c r="BR4" s="23">
        <f>+AQ4/30.97*3</f>
        <v>0.48433968356474005</v>
      </c>
      <c r="BS4" s="25">
        <f>IF(I4&lt;5.5,0,J4-31.62+BI4)-(BE4-BF4)</f>
        <v>281.96105631181916</v>
      </c>
      <c r="BT4" s="170">
        <f>BE4</f>
        <v>54.052380658592611</v>
      </c>
      <c r="BU4" s="26"/>
      <c r="BV4" s="25">
        <f t="shared" ref="BV4:BV14" si="0">SUM(BI4:BM4)-SUM(BN4:BS4)</f>
        <v>-187.62441602804807</v>
      </c>
      <c r="BW4" s="171">
        <f t="shared" ref="BW4:BW14" si="1">BV4/SUM(BI4:BS4)*100</f>
        <v>-27.820243192076017</v>
      </c>
      <c r="BX4" s="110">
        <f t="shared" ref="BX4:BX14" si="2">0.5*(SUM(BI4:BM4)+SUM(BN4:BQ4))*0.000001</f>
        <v>1.9598574179317368E-4</v>
      </c>
      <c r="BY4" s="23">
        <f t="shared" ref="BY4" si="3">(10^(-0.51*BX4^0.5))</f>
        <v>0.98369453742941959</v>
      </c>
      <c r="BZ4" s="23">
        <f t="shared" ref="BZ4" si="4">(10^(-0.51*4*BX4^0.5))</f>
        <v>0.93635608865133169</v>
      </c>
      <c r="CA4" s="46">
        <f t="shared" ref="CA4" si="5">(10^(-0.51*2.3^2*BX4^0.5))</f>
        <v>0.9167074774763283</v>
      </c>
      <c r="CB4" s="110">
        <f t="shared" ref="CB4:CB14" si="6">(BY4*BI4*10^-9)</f>
        <v>2.47092896131905E-10</v>
      </c>
      <c r="CC4" s="110">
        <f t="shared" ref="CC4:CC14" si="7">(BZ4*0.5*BJ4*10^-9)</f>
        <v>6.7274981806287641E-8</v>
      </c>
      <c r="CD4" s="110">
        <f t="shared" ref="CD4:CD14" si="8">(BZ4*0.5*BK4*10^-9)</f>
        <v>2.5200965757125119E-8</v>
      </c>
      <c r="CE4" s="110">
        <f t="shared" ref="CE4:CE14" si="9">(BY4*BL4*10^-9)</f>
        <v>4.4878121599949845E-8</v>
      </c>
      <c r="CF4" s="110">
        <f t="shared" ref="CF4:CF14" si="10">(BY4*BM4*10^-9)</f>
        <v>0</v>
      </c>
      <c r="CG4" s="110">
        <f t="shared" ref="CG4:CG14" si="11">(BZ4*0.5*BN4*10^-9)</f>
        <v>2.3165834425122346E-8</v>
      </c>
      <c r="CH4" s="110">
        <f t="shared" ref="CH4:CH14" si="12">(BY4*BP4*10^-9)</f>
        <v>8.8472233952036456E-8</v>
      </c>
      <c r="CI4" s="110">
        <f t="shared" ref="CI4:CI14" si="13">(BY4*BO4*10^-9)</f>
        <v>4.990678141210568E-9</v>
      </c>
      <c r="CJ4" s="47">
        <f>(BY4*AZ4*10^-9)</f>
        <v>2.3597188386453422E-8</v>
      </c>
      <c r="CK4" s="110">
        <f t="shared" ref="CK4:CK14" si="14">(CB4*349.6)</f>
        <v>8.6383676487713991E-8</v>
      </c>
      <c r="CL4" s="110">
        <f>(CC4*119)</f>
        <v>8.0057228349482287E-6</v>
      </c>
      <c r="CM4" s="110">
        <f>(CD4*106)</f>
        <v>2.6713023702552628E-6</v>
      </c>
      <c r="CN4" s="110">
        <f>(CE4*50.1)</f>
        <v>2.2483938921574874E-6</v>
      </c>
      <c r="CO4" s="110">
        <f>(CF4*73.5)</f>
        <v>0</v>
      </c>
      <c r="CP4" s="110">
        <f>(CG4*160)</f>
        <v>3.7065335080195754E-6</v>
      </c>
      <c r="CQ4" s="110">
        <f>(CH4*76.3)</f>
        <v>6.7504314505403818E-6</v>
      </c>
      <c r="CR4" s="110">
        <f>(CI4*71.4)</f>
        <v>3.5633441928243456E-7</v>
      </c>
      <c r="CS4" s="47">
        <f>(CJ4*44.5)</f>
        <v>1.0500748831971774E-6</v>
      </c>
      <c r="CT4" s="24">
        <f t="shared" ref="CT4:CT14" si="15">(SUM(CK4:CR4)*10^5)</f>
        <v>2.3825102151691087</v>
      </c>
      <c r="CU4" s="24">
        <f>K4/10</f>
        <v>2.6</v>
      </c>
      <c r="CV4" s="24">
        <f t="shared" ref="CV4" si="16">(CU4-CT4)</f>
        <v>0.21748978483089143</v>
      </c>
      <c r="CW4" s="27">
        <f t="shared" ref="CW4" si="17">(CV4*100/CU4)</f>
        <v>8.3649917242650549</v>
      </c>
      <c r="CX4" s="16"/>
    </row>
    <row r="5" spans="1:102" ht="15.75" x14ac:dyDescent="0.25">
      <c r="B5" s="30">
        <v>2</v>
      </c>
      <c r="C5" s="29" t="s">
        <v>127</v>
      </c>
      <c r="D5" s="41" t="s">
        <v>128</v>
      </c>
      <c r="E5" s="42" t="s">
        <v>129</v>
      </c>
      <c r="F5" s="33">
        <v>2000</v>
      </c>
      <c r="G5" s="28"/>
      <c r="H5" s="28"/>
      <c r="I5" s="67">
        <v>6.38</v>
      </c>
      <c r="J5" s="121">
        <v>264.67527369287109</v>
      </c>
      <c r="K5" s="74">
        <v>38.5</v>
      </c>
      <c r="L5" s="78">
        <v>22</v>
      </c>
      <c r="M5" s="138">
        <v>0.46600000000000003</v>
      </c>
      <c r="N5" s="62">
        <v>6.6000000000000003E-2</v>
      </c>
      <c r="O5" s="62">
        <v>8.0000000000000002E-3</v>
      </c>
      <c r="P5" s="131">
        <v>7.3609999999999998</v>
      </c>
      <c r="Q5" s="131">
        <f t="shared" ref="Q5:Q14" si="18">M5/P5</f>
        <v>6.3306615948919995E-2</v>
      </c>
      <c r="R5" s="131">
        <f t="shared" ref="R5:R14" si="19">M5/N5</f>
        <v>7.0606060606060606</v>
      </c>
      <c r="S5" s="34">
        <v>5.0433599999999998</v>
      </c>
      <c r="T5" s="123">
        <v>1.0089399999999999</v>
      </c>
      <c r="U5" s="34">
        <v>1.54969</v>
      </c>
      <c r="V5" s="160">
        <v>0</v>
      </c>
      <c r="W5" s="142">
        <v>0.113709</v>
      </c>
      <c r="X5" s="34">
        <v>0.59635400000000005</v>
      </c>
      <c r="Y5" s="34">
        <v>9.0395699999999995E-2</v>
      </c>
      <c r="Z5" s="34">
        <v>0.14031721129514663</v>
      </c>
      <c r="AA5" s="34">
        <v>0.15103352976554996</v>
      </c>
      <c r="AB5" s="103">
        <v>0.15381025201800608</v>
      </c>
      <c r="AC5" s="100">
        <f t="shared" ref="AC5:AC14" si="20">Z5/AA5</f>
        <v>0.92904675877576115</v>
      </c>
      <c r="AD5" s="95">
        <f>W5/26.98</f>
        <v>4.2145663454410676E-3</v>
      </c>
      <c r="AE5" s="60">
        <f>X5/55.845</f>
        <v>1.0678735786552065E-2</v>
      </c>
      <c r="AF5" s="60">
        <f>Y5/54.938</f>
        <v>1.6454130110306162E-3</v>
      </c>
      <c r="AG5" s="34"/>
      <c r="AH5" s="34"/>
      <c r="AI5" s="163"/>
      <c r="AJ5" s="143">
        <v>4.8082252090848474</v>
      </c>
      <c r="AK5" s="143">
        <v>0.42138925808935418</v>
      </c>
      <c r="AL5" s="143">
        <v>3.3725376931995048</v>
      </c>
      <c r="AM5" s="143">
        <v>0.10160235724180765</v>
      </c>
      <c r="AN5" s="143"/>
      <c r="AO5" s="136">
        <v>48</v>
      </c>
      <c r="AP5" s="136">
        <v>36</v>
      </c>
      <c r="AQ5" s="136">
        <v>5</v>
      </c>
      <c r="AR5" s="56">
        <f>AO5-AP5</f>
        <v>12</v>
      </c>
      <c r="AS5" s="85">
        <f t="shared" ref="AS5:AS14" si="21">AP5-AQ5</f>
        <v>31</v>
      </c>
      <c r="AU5" s="50">
        <v>3.42</v>
      </c>
      <c r="AV5" s="51">
        <f t="shared" ref="AV5:AV14" si="22">10^-AU5</f>
        <v>3.8018939632056113E-4</v>
      </c>
      <c r="AW5" s="51">
        <v>3.1622776601683798E-2</v>
      </c>
      <c r="AX5" s="51">
        <f t="shared" ref="AX5:AX14" si="23">+AV5*AW5</f>
        <v>1.2022644346174128E-5</v>
      </c>
      <c r="AY5" s="51">
        <v>5.0118723362727197E-7</v>
      </c>
      <c r="AZ5" s="51">
        <f>+((AY5/(10^(-I5)))*AX5)*1000000</f>
        <v>14.454397707459281</v>
      </c>
      <c r="BA5" s="51">
        <v>5.6234132519034893E-11</v>
      </c>
      <c r="BB5" s="51">
        <f>+(((AY5*BA5)/(10^(-I5)))*AX5)*1000000</f>
        <v>8.1283051616409944E-10</v>
      </c>
      <c r="BC5" s="169"/>
      <c r="BD5" s="107">
        <f>+AZ5+2*BB5</f>
        <v>14.454397709084942</v>
      </c>
      <c r="BE5" s="57">
        <f>+(5.5*(P5))*(10^-(0.96+0.9*I5-0.039*((I5)^2)))/((10^-(0.96+0.9*I5-0.039*((I5)^2)))+(10^-I5))</f>
        <v>38.40159615439196</v>
      </c>
      <c r="BF5" s="57">
        <f>+(5.5*(P5))*(10^-(0.96+0.9*4.5-0.039*((4.5)^2)))/((10^-(0.96+0.9*4.5-0.039*((4.5)^2)))+(10^-4.5))</f>
        <v>26.545960142613588</v>
      </c>
      <c r="BG5" s="62">
        <v>0.3999999999999837</v>
      </c>
      <c r="BH5" s="36"/>
      <c r="BI5" s="23">
        <f>(10^-I5)*1000000</f>
        <v>0.41686938347033492</v>
      </c>
      <c r="BJ5" s="25">
        <f>(S5/40.078*1000)*2</f>
        <v>251.67722940266481</v>
      </c>
      <c r="BK5" s="24">
        <f>(T5/24.312*1000)*2</f>
        <v>82.999341888779199</v>
      </c>
      <c r="BL5" s="25">
        <f>(U5/22.99*1000)</f>
        <v>67.407133536320146</v>
      </c>
      <c r="BM5" s="24">
        <f>(V5/39.102*1000)</f>
        <v>0</v>
      </c>
      <c r="BN5" s="24">
        <f>(AJ5/96.064*1000)*2</f>
        <v>100.10462210786241</v>
      </c>
      <c r="BO5" s="24">
        <f>(AK5/62.0067*1000)</f>
        <v>6.7958665448952162</v>
      </c>
      <c r="BP5" s="25">
        <f>(AL5/35.453*1000)</f>
        <v>95.127004575057242</v>
      </c>
      <c r="BQ5" s="23">
        <f>(AM5/18.998)*1000</f>
        <v>5.3480554396150985</v>
      </c>
      <c r="BR5" s="23">
        <f>+AQ5/30.97*3</f>
        <v>0.48433968356474005</v>
      </c>
      <c r="BS5" s="25">
        <f>IF(I5&lt;5.5,0,J5-31.62+BI5)-(BE5-BF5)</f>
        <v>221.61650706456305</v>
      </c>
      <c r="BT5" s="170">
        <f t="shared" ref="BT5:BT14" si="24">BE5</f>
        <v>38.40159615439196</v>
      </c>
      <c r="BU5" s="26"/>
      <c r="BV5" s="25">
        <f t="shared" si="0"/>
        <v>-26.975821204323324</v>
      </c>
      <c r="BW5" s="27">
        <f t="shared" si="1"/>
        <v>-3.2423759537988324</v>
      </c>
      <c r="BX5" s="110">
        <f t="shared" si="2"/>
        <v>3.0493806143933223E-4</v>
      </c>
      <c r="BY5" s="23">
        <f t="shared" ref="BY5:BY14" si="25">(10^(-0.51*BX5^0.5))</f>
        <v>0.97970232191370699</v>
      </c>
      <c r="BZ5" s="23">
        <f t="shared" ref="BZ5:BZ14" si="26">(10^(-0.51*4*BX5^0.5))</f>
        <v>0.92124798158221866</v>
      </c>
      <c r="CA5" s="46">
        <f t="shared" ref="CA5:CA14" si="27">(10^(-0.51*2.3^2*BX5^0.5))</f>
        <v>0.8971973589824479</v>
      </c>
      <c r="CB5" s="110">
        <f t="shared" si="6"/>
        <v>4.0840790292062264E-10</v>
      </c>
      <c r="CC5" s="110">
        <f t="shared" si="7"/>
        <v>1.15928569798705E-7</v>
      </c>
      <c r="CD5" s="110">
        <f t="shared" si="8"/>
        <v>3.8231488093845166E-8</v>
      </c>
      <c r="CE5" s="110">
        <f t="shared" si="9"/>
        <v>6.6038925239080164E-8</v>
      </c>
      <c r="CF5" s="110">
        <f t="shared" si="10"/>
        <v>0</v>
      </c>
      <c r="CG5" s="110">
        <f t="shared" si="11"/>
        <v>4.6110590531959498E-8</v>
      </c>
      <c r="CH5" s="110">
        <f t="shared" si="12"/>
        <v>9.3196147258879408E-8</v>
      </c>
      <c r="CI5" s="110">
        <f t="shared" si="13"/>
        <v>6.6579262334495251E-9</v>
      </c>
      <c r="CJ5" s="47">
        <f>(BY5*AZ5*10^-9)</f>
        <v>1.4161006995862022E-8</v>
      </c>
      <c r="CK5" s="110">
        <f t="shared" si="14"/>
        <v>1.4277940286104969E-7</v>
      </c>
      <c r="CL5" s="110">
        <f t="shared" ref="CL5:CL14" si="28">(CC5*119)</f>
        <v>1.3795499806045895E-5</v>
      </c>
      <c r="CM5" s="110">
        <f t="shared" ref="CM5:CM14" si="29">(CD5*106)</f>
        <v>4.0525377379475873E-6</v>
      </c>
      <c r="CN5" s="110">
        <f t="shared" ref="CN5:CN14" si="30">(CE5*50.1)</f>
        <v>3.3085501544779161E-6</v>
      </c>
      <c r="CO5" s="110">
        <f t="shared" ref="CO5:CO14" si="31">(CF5*73.5)</f>
        <v>0</v>
      </c>
      <c r="CP5" s="110">
        <f t="shared" ref="CP5:CP14" si="32">(CG5*160)</f>
        <v>7.3776944851135201E-6</v>
      </c>
      <c r="CQ5" s="110">
        <f t="shared" ref="CQ5:CQ14" si="33">(CH5*76.3)</f>
        <v>7.1108660358524985E-6</v>
      </c>
      <c r="CR5" s="110">
        <f t="shared" ref="CR5:CR14" si="34">(CI5*71.4)</f>
        <v>4.7537593306829614E-7</v>
      </c>
      <c r="CS5" s="47">
        <f t="shared" ref="CS5:CS14" si="35">(CJ5*44.5)</f>
        <v>6.3016481131585992E-7</v>
      </c>
      <c r="CT5" s="24">
        <f t="shared" si="15"/>
        <v>3.6263303555366764</v>
      </c>
      <c r="CU5" s="24">
        <f>K5/10</f>
        <v>3.85</v>
      </c>
      <c r="CV5" s="24">
        <f t="shared" ref="CV5:CV14" si="36">(CU5-CT5)</f>
        <v>0.22366964446332371</v>
      </c>
      <c r="CW5" s="27">
        <f t="shared" ref="CW5:CW14" si="37">(CV5*100/CU5)</f>
        <v>5.8096011548915252</v>
      </c>
    </row>
    <row r="6" spans="1:102" ht="15.75" x14ac:dyDescent="0.25">
      <c r="B6" s="30">
        <v>3</v>
      </c>
      <c r="C6" s="29" t="s">
        <v>107</v>
      </c>
      <c r="D6" s="29" t="s">
        <v>22</v>
      </c>
      <c r="E6" s="42" t="s">
        <v>130</v>
      </c>
      <c r="F6" s="33">
        <v>2000</v>
      </c>
      <c r="H6" s="28"/>
      <c r="I6" s="67">
        <v>6.39</v>
      </c>
      <c r="J6" s="121">
        <v>993.45085628345578</v>
      </c>
      <c r="K6" s="74">
        <v>67.3</v>
      </c>
      <c r="L6" s="78">
        <v>20.2</v>
      </c>
      <c r="M6" s="138">
        <v>0.254</v>
      </c>
      <c r="N6" s="62">
        <v>3.3000000000000002E-2</v>
      </c>
      <c r="O6" s="62">
        <v>5.0000000000000001E-3</v>
      </c>
      <c r="P6" s="131">
        <v>4.9409999999999998</v>
      </c>
      <c r="Q6" s="131">
        <f t="shared" si="18"/>
        <v>5.1406597854685286E-2</v>
      </c>
      <c r="R6" s="131">
        <f t="shared" si="19"/>
        <v>7.6969696969696964</v>
      </c>
      <c r="S6" s="34">
        <v>4.9141500000000002</v>
      </c>
      <c r="T6" s="123">
        <v>0.90431899999999998</v>
      </c>
      <c r="U6" s="34">
        <v>7.53207</v>
      </c>
      <c r="V6" s="160">
        <v>0</v>
      </c>
      <c r="W6" s="142">
        <v>1.4E-2</v>
      </c>
      <c r="X6" s="34">
        <v>0.13872200000000001</v>
      </c>
      <c r="Y6" s="160">
        <v>0</v>
      </c>
      <c r="Z6" s="34">
        <v>0.1241104420938513</v>
      </c>
      <c r="AA6" s="34">
        <v>0.13806447494494639</v>
      </c>
      <c r="AB6" s="103">
        <v>0.1373103172168087</v>
      </c>
      <c r="AC6" s="100">
        <f>Z6/AA6</f>
        <v>0.89893104032257898</v>
      </c>
      <c r="AD6" s="95">
        <f>W6/26.98</f>
        <v>5.1890289103039293E-4</v>
      </c>
      <c r="AE6" s="60">
        <f>X6/55.845</f>
        <v>2.4840540782523055E-3</v>
      </c>
      <c r="AF6" s="60">
        <f>Y6/54.938</f>
        <v>0</v>
      </c>
      <c r="AG6" s="88"/>
      <c r="AH6" s="34"/>
      <c r="AI6" s="164"/>
      <c r="AJ6" s="143">
        <v>2.6706694732106273</v>
      </c>
      <c r="AK6" s="143">
        <v>0.32974450479239326</v>
      </c>
      <c r="AL6" s="143">
        <f>1.32598161986264*10</f>
        <v>13.2598161986264</v>
      </c>
      <c r="AM6" s="143">
        <v>8.4577222363038398E-2</v>
      </c>
      <c r="AN6" s="143"/>
      <c r="AO6" s="136">
        <v>54</v>
      </c>
      <c r="AP6" s="136">
        <v>41</v>
      </c>
      <c r="AQ6" s="136">
        <v>4</v>
      </c>
      <c r="AR6" s="56">
        <f>AO6-AP6</f>
        <v>13</v>
      </c>
      <c r="AS6" s="85">
        <v>0</v>
      </c>
      <c r="AU6" s="50">
        <v>3.42</v>
      </c>
      <c r="AV6" s="51">
        <f>10^-AU6</f>
        <v>3.8018939632056113E-4</v>
      </c>
      <c r="AW6" s="51">
        <v>3.1622776601683798E-2</v>
      </c>
      <c r="AX6" s="51">
        <f>+AV6*AW6</f>
        <v>1.2022644346174128E-5</v>
      </c>
      <c r="AY6" s="51">
        <v>5.0118723362727197E-7</v>
      </c>
      <c r="AZ6" s="51">
        <f>+((AY6/(10^(-I6)))*AX6)*1000000</f>
        <v>14.791083881682081</v>
      </c>
      <c r="BA6" s="51">
        <v>5.6234132519034893E-11</v>
      </c>
      <c r="BB6" s="51">
        <f>+(((AY6*BA6)/(10^(-I6)))*AX6)*1000000</f>
        <v>8.3176377110267112E-10</v>
      </c>
      <c r="BC6" s="169"/>
      <c r="BD6" s="107">
        <f>+AZ6+2*BB6</f>
        <v>14.791083883345609</v>
      </c>
      <c r="BE6" s="57">
        <f>+(5.5*(P6))*(10^-(0.96+0.9*I6-0.039*((I6)^2)))/((10^-(0.96+0.9*I6-0.039*((I6)^2)))+(10^-I6))</f>
        <v>25.794857515168601</v>
      </c>
      <c r="BF6" s="57">
        <f>+(5.5*(P6))*(10^-(0.96+0.9*4.5-0.039*((4.5)^2)))/((10^-(0.96+0.9*4.5-0.039*((4.5)^2)))+(10^-4.5))</f>
        <v>17.818718796991405</v>
      </c>
      <c r="BG6" s="62">
        <v>1.2666666666667308</v>
      </c>
      <c r="BH6" s="36"/>
      <c r="BI6" s="23">
        <f>(10^-I6)*1000000</f>
        <v>0.40738027780411229</v>
      </c>
      <c r="BJ6" s="25">
        <f>(S6/40.078*1000)*2</f>
        <v>245.22930285942414</v>
      </c>
      <c r="BK6" s="24">
        <f>(T6/24.312*1000)*2</f>
        <v>74.392810134912793</v>
      </c>
      <c r="BL6" s="24">
        <f>(U6/22.99*1000)</f>
        <v>327.62374945628534</v>
      </c>
      <c r="BM6" s="24">
        <f>(V6/39.102*1000)</f>
        <v>0</v>
      </c>
      <c r="BN6" s="24">
        <f>(AJ6/96.064*1000)*2</f>
        <v>55.60187943892879</v>
      </c>
      <c r="BO6" s="24">
        <f>(AK6/62.0067*1000)</f>
        <v>5.3178850800380157</v>
      </c>
      <c r="BP6" s="24">
        <f>(AL6/35.453*1000)</f>
        <v>374.0111189074662</v>
      </c>
      <c r="BQ6" s="23">
        <f>(AM6/18.998)*1000</f>
        <v>4.4519013771469833</v>
      </c>
      <c r="BR6" s="23">
        <f>+AQ6/30.97*3</f>
        <v>0.38747174685179209</v>
      </c>
      <c r="BS6" s="25">
        <f>IF(I6&lt;5.5,0,J6-31.62+BI6)-(BE6-BF6)</f>
        <v>954.26209784308276</v>
      </c>
      <c r="BT6" s="170">
        <f t="shared" si="24"/>
        <v>25.794857515168601</v>
      </c>
      <c r="BU6" s="26"/>
      <c r="BV6" s="25">
        <f t="shared" si="0"/>
        <v>-746.3791116650882</v>
      </c>
      <c r="BW6" s="171">
        <f t="shared" si="1"/>
        <v>-36.557005286084227</v>
      </c>
      <c r="BX6" s="110">
        <f t="shared" si="2"/>
        <v>5.435180137660032E-4</v>
      </c>
      <c r="BY6" s="23">
        <f>(10^(-0.51*BX6^0.5))</f>
        <v>0.97299392537074814</v>
      </c>
      <c r="BZ6" s="23">
        <f>(10^(-0.51*4*BX6^0.5))</f>
        <v>0.89627341665089266</v>
      </c>
      <c r="CA6" s="46">
        <f>(10^(-0.51*2.3^2*BX6^0.5))</f>
        <v>0.86517225109671014</v>
      </c>
      <c r="CB6" s="110">
        <f t="shared" si="6"/>
        <v>3.9637853561924909E-10</v>
      </c>
      <c r="CC6" s="110">
        <f t="shared" si="7"/>
        <v>1.098962525683663E-7</v>
      </c>
      <c r="CD6" s="110">
        <f t="shared" si="8"/>
        <v>3.333814905693972E-8</v>
      </c>
      <c r="CE6" s="110">
        <f t="shared" si="9"/>
        <v>3.1877591802815359E-7</v>
      </c>
      <c r="CF6" s="110">
        <f t="shared" si="10"/>
        <v>0</v>
      </c>
      <c r="CG6" s="110">
        <f t="shared" si="11"/>
        <v>2.4917243228469865E-8</v>
      </c>
      <c r="CH6" s="110">
        <f t="shared" si="12"/>
        <v>3.6391054671808118E-7</v>
      </c>
      <c r="CI6" s="110">
        <f t="shared" si="13"/>
        <v>5.174269878696724E-9</v>
      </c>
      <c r="CJ6" s="47">
        <f>(BY6*AZ6*10^-9)</f>
        <v>1.4391634766525852E-8</v>
      </c>
      <c r="CK6" s="110">
        <f t="shared" si="14"/>
        <v>1.3857393605248948E-7</v>
      </c>
      <c r="CL6" s="110">
        <f>(CC6*119)</f>
        <v>1.307765405563559E-5</v>
      </c>
      <c r="CM6" s="110">
        <f>(CD6*106)</f>
        <v>3.5338438000356105E-6</v>
      </c>
      <c r="CN6" s="110">
        <f>(CE6*50.1)</f>
        <v>1.5970673493210496E-5</v>
      </c>
      <c r="CO6" s="110">
        <f>(CF6*73.5)</f>
        <v>0</v>
      </c>
      <c r="CP6" s="110">
        <f>(CG6*160)</f>
        <v>3.9867589165551786E-6</v>
      </c>
      <c r="CQ6" s="110">
        <f>(CH6*76.3)</f>
        <v>2.7766374714589593E-5</v>
      </c>
      <c r="CR6" s="110">
        <f>(CI6*71.4)</f>
        <v>3.6944286933894615E-7</v>
      </c>
      <c r="CS6" s="47">
        <f>(CJ6*44.5)</f>
        <v>6.4042774711040037E-7</v>
      </c>
      <c r="CT6" s="24">
        <f t="shared" si="15"/>
        <v>6.4843321785417904</v>
      </c>
      <c r="CU6" s="24">
        <f>K6/10</f>
        <v>6.7299999999999995</v>
      </c>
      <c r="CV6" s="24">
        <f>(CU6-CT6)</f>
        <v>0.24566782145820909</v>
      </c>
      <c r="CW6" s="27">
        <f>(CV6*100/CU6)</f>
        <v>3.6503391004191545</v>
      </c>
    </row>
    <row r="7" spans="1:102" ht="15.75" x14ac:dyDescent="0.25">
      <c r="B7" s="30">
        <v>4</v>
      </c>
      <c r="C7" s="81" t="s">
        <v>108</v>
      </c>
      <c r="D7" s="29" t="s">
        <v>22</v>
      </c>
      <c r="E7" s="42" t="s">
        <v>131</v>
      </c>
      <c r="F7" s="33">
        <v>2000</v>
      </c>
      <c r="H7" s="28"/>
      <c r="I7" s="67">
        <v>7.11</v>
      </c>
      <c r="J7" s="121">
        <v>1975.9116840745278</v>
      </c>
      <c r="K7" s="74">
        <v>244</v>
      </c>
      <c r="L7" s="78">
        <v>22.2</v>
      </c>
      <c r="M7" s="138">
        <v>0.21199999999999999</v>
      </c>
      <c r="N7" s="158">
        <v>3.1E-2</v>
      </c>
      <c r="O7" s="158">
        <v>8.0000000000000002E-3</v>
      </c>
      <c r="P7" s="131">
        <v>4.3140000000000001</v>
      </c>
      <c r="Q7" s="131">
        <f t="shared" si="18"/>
        <v>4.9142327306444133E-2</v>
      </c>
      <c r="R7" s="131">
        <f t="shared" si="19"/>
        <v>6.838709677419355</v>
      </c>
      <c r="S7" s="34">
        <v>28.4818</v>
      </c>
      <c r="T7" s="123">
        <v>5.2700100000000001</v>
      </c>
      <c r="U7" s="34">
        <v>15.9796</v>
      </c>
      <c r="V7" s="34">
        <v>2.5989599999999999</v>
      </c>
      <c r="W7" s="159">
        <v>9.1805500000000009E-3</v>
      </c>
      <c r="X7" s="34">
        <v>0.194129</v>
      </c>
      <c r="Y7" s="34">
        <v>2.9373699999999999E-2</v>
      </c>
      <c r="Z7" s="34">
        <v>0.87238310013300913</v>
      </c>
      <c r="AA7" s="34">
        <v>0.96278395831746832</v>
      </c>
      <c r="AB7" s="103">
        <v>0.94710068121203417</v>
      </c>
      <c r="AC7" s="100">
        <f t="shared" si="20"/>
        <v>0.90610473159270233</v>
      </c>
      <c r="AD7" s="95">
        <f>W7/26.98</f>
        <v>3.4027242401779101E-4</v>
      </c>
      <c r="AE7" s="60">
        <f>X7/55.845</f>
        <v>3.4762109409974037E-3</v>
      </c>
      <c r="AF7" s="60">
        <f>Y7/54.938</f>
        <v>5.3466999162692487E-4</v>
      </c>
      <c r="AG7" s="34"/>
      <c r="AH7" s="34"/>
      <c r="AI7" s="163"/>
      <c r="AJ7" s="143">
        <f>1.77399956616401*10</f>
        <v>17.739995661640101</v>
      </c>
      <c r="AK7" s="143">
        <v>1.2198919028314683</v>
      </c>
      <c r="AL7" s="143">
        <v>20.800429866027621</v>
      </c>
      <c r="AM7" s="143">
        <v>0.1781211267474625</v>
      </c>
      <c r="AN7" s="143"/>
      <c r="AO7" s="136">
        <v>146</v>
      </c>
      <c r="AP7" s="136">
        <v>54</v>
      </c>
      <c r="AQ7" s="136">
        <v>44</v>
      </c>
      <c r="AR7" s="56">
        <f>AO7-AP7</f>
        <v>92</v>
      </c>
      <c r="AS7" s="85">
        <f t="shared" si="21"/>
        <v>10</v>
      </c>
      <c r="AU7" s="50">
        <v>3.42</v>
      </c>
      <c r="AV7" s="51">
        <f t="shared" si="22"/>
        <v>3.8018939632056113E-4</v>
      </c>
      <c r="AW7" s="51">
        <v>3.1622776601683798E-2</v>
      </c>
      <c r="AX7" s="51">
        <f t="shared" si="23"/>
        <v>1.2022644346174128E-5</v>
      </c>
      <c r="AY7" s="51">
        <v>5.0118723362727197E-7</v>
      </c>
      <c r="AZ7" s="51">
        <f>+((AY7/(10^(-I7)))*AX7)*1000000</f>
        <v>77.624711662869373</v>
      </c>
      <c r="BA7" s="51">
        <v>5.6234132519034893E-11</v>
      </c>
      <c r="BB7" s="51">
        <f>+(((AY7*BA7)/(10^(-I7)))*AX7)*1000000</f>
        <v>4.3651583224016687E-9</v>
      </c>
      <c r="BC7" s="169"/>
      <c r="BD7" s="107">
        <f>+AZ7+2*BB7</f>
        <v>77.624711671599684</v>
      </c>
      <c r="BE7" s="57">
        <f>+(5.5*(P7))*(10^-(0.96+0.9*I7-0.039*((I7)^2)))/((10^-(0.96+0.9*I7-0.039*((I7)^2)))+(10^-I7))</f>
        <v>23.285876006369893</v>
      </c>
      <c r="BF7" s="57">
        <f>+(5.5*(P7))*(10^-(0.96+0.9*4.5-0.039*((4.5)^2)))/((10^-(0.96+0.9*4.5-0.039*((4.5)^2)))+(10^-4.5))</f>
        <v>15.557569902898386</v>
      </c>
      <c r="BG7" s="62">
        <v>18.800000000000022</v>
      </c>
      <c r="BH7" s="36"/>
      <c r="BI7" s="23">
        <f>(10^-I7)*1000000</f>
        <v>7.7624711662868925E-2</v>
      </c>
      <c r="BJ7" s="25">
        <f>(S7/40.078*1000)*2</f>
        <v>1421.3184290633264</v>
      </c>
      <c r="BK7" s="25">
        <f>(T7/24.312*1000)*2</f>
        <v>433.53158933859822</v>
      </c>
      <c r="BL7" s="25">
        <f>(U7/22.99*1000)</f>
        <v>695.06742061765988</v>
      </c>
      <c r="BM7" s="24">
        <f>(V7/39.102*1000)</f>
        <v>66.466165413533844</v>
      </c>
      <c r="BN7" s="25">
        <f>(AJ7/96.064*1000)*2</f>
        <v>369.33701827198752</v>
      </c>
      <c r="BO7" s="24">
        <f>(AK7/62.0067*1000)</f>
        <v>19.673549839476511</v>
      </c>
      <c r="BP7" s="25">
        <f>(AL7/35.453*1000)</f>
        <v>586.70436538593685</v>
      </c>
      <c r="BQ7" s="23">
        <f>(AM7/18.998)*1000</f>
        <v>9.3757830691368831</v>
      </c>
      <c r="BR7" s="23">
        <f>+AQ7/30.97*3</f>
        <v>4.2621892153697125</v>
      </c>
      <c r="BS7" s="25">
        <f>IF(I7&lt;5.5,0,J7-31.62+BI7)-(BE7-BF7)</f>
        <v>1936.6410026827191</v>
      </c>
      <c r="BT7" s="170">
        <f t="shared" si="24"/>
        <v>23.285876006369893</v>
      </c>
      <c r="BU7" s="26"/>
      <c r="BV7" s="25">
        <f t="shared" si="0"/>
        <v>-309.53267931984556</v>
      </c>
      <c r="BW7" s="27">
        <f t="shared" si="1"/>
        <v>-5.5847575060996224</v>
      </c>
      <c r="BX7" s="110">
        <f t="shared" si="2"/>
        <v>1.8007759728556592E-3</v>
      </c>
      <c r="BY7" s="23">
        <f t="shared" si="25"/>
        <v>0.95138843766664294</v>
      </c>
      <c r="BZ7" s="23">
        <f t="shared" si="26"/>
        <v>0.81927834596826721</v>
      </c>
      <c r="CA7" s="46">
        <f t="shared" si="27"/>
        <v>0.76826867785747721</v>
      </c>
      <c r="CB7" s="110">
        <f t="shared" si="6"/>
        <v>7.3851253153260517E-11</v>
      </c>
      <c r="CC7" s="110">
        <f t="shared" si="7"/>
        <v>5.8222770582860906E-7</v>
      </c>
      <c r="CD7" s="110">
        <f t="shared" si="8"/>
        <v>1.7759152171916041E-7</v>
      </c>
      <c r="CE7" s="110">
        <f t="shared" si="9"/>
        <v>6.6127910737441889E-7</v>
      </c>
      <c r="CF7" s="110">
        <f t="shared" si="10"/>
        <v>6.3235141270474619E-8</v>
      </c>
      <c r="CG7" s="110">
        <f t="shared" si="11"/>
        <v>1.5129491071736281E-7</v>
      </c>
      <c r="CH7" s="110">
        <f t="shared" si="12"/>
        <v>5.5818374955672578E-7</v>
      </c>
      <c r="CI7" s="110">
        <f t="shared" si="13"/>
        <v>1.8717187845136392E-8</v>
      </c>
      <c r="CJ7" s="47">
        <f>(BY7*AZ7*10^-9)</f>
        <v>7.3851253153260932E-8</v>
      </c>
      <c r="CK7" s="110">
        <f t="shared" si="14"/>
        <v>2.5818398102379878E-8</v>
      </c>
      <c r="CL7" s="110">
        <f t="shared" si="28"/>
        <v>6.9285096993604485E-5</v>
      </c>
      <c r="CM7" s="110">
        <f t="shared" si="29"/>
        <v>1.8824701302231004E-5</v>
      </c>
      <c r="CN7" s="110">
        <f t="shared" si="30"/>
        <v>3.3130083279458385E-5</v>
      </c>
      <c r="CO7" s="110">
        <f t="shared" si="31"/>
        <v>4.6477828833798846E-6</v>
      </c>
      <c r="CP7" s="110">
        <f t="shared" si="32"/>
        <v>2.4207185714778049E-5</v>
      </c>
      <c r="CQ7" s="110">
        <f t="shared" si="33"/>
        <v>4.2589420091178174E-5</v>
      </c>
      <c r="CR7" s="110">
        <f t="shared" si="34"/>
        <v>1.3364072121427385E-6</v>
      </c>
      <c r="CS7" s="47">
        <f t="shared" si="35"/>
        <v>3.2863807653201115E-6</v>
      </c>
      <c r="CT7" s="172">
        <f t="shared" si="15"/>
        <v>19.404649587487512</v>
      </c>
      <c r="CU7" s="172">
        <f>K7/10</f>
        <v>24.4</v>
      </c>
      <c r="CV7" s="24">
        <f t="shared" si="36"/>
        <v>4.9953504125124866</v>
      </c>
      <c r="CW7" s="27">
        <f t="shared" si="37"/>
        <v>20.472747592264291</v>
      </c>
    </row>
    <row r="8" spans="1:102" ht="15.75" x14ac:dyDescent="0.25">
      <c r="B8" s="30">
        <v>5</v>
      </c>
      <c r="C8" s="29" t="s">
        <v>104</v>
      </c>
      <c r="D8" s="136" t="s">
        <v>22</v>
      </c>
      <c r="E8" s="42" t="s">
        <v>132</v>
      </c>
      <c r="F8" s="33">
        <v>2000</v>
      </c>
      <c r="H8" s="28"/>
      <c r="I8" s="67">
        <v>7.46</v>
      </c>
      <c r="J8" s="121">
        <v>984.24799356397023</v>
      </c>
      <c r="K8" s="74">
        <v>209</v>
      </c>
      <c r="L8" s="78">
        <v>22.5</v>
      </c>
      <c r="M8" s="138">
        <v>0.193</v>
      </c>
      <c r="N8" s="158">
        <v>2.4E-2</v>
      </c>
      <c r="O8" s="158">
        <v>7.0000000000000001E-3</v>
      </c>
      <c r="P8" s="131">
        <v>4.6420000000000003</v>
      </c>
      <c r="Q8" s="131">
        <f t="shared" si="18"/>
        <v>4.1576906505816455E-2</v>
      </c>
      <c r="R8" s="131">
        <f t="shared" si="19"/>
        <v>8.0416666666666661</v>
      </c>
      <c r="S8" s="34">
        <v>18.3963</v>
      </c>
      <c r="T8" s="123">
        <v>4.1443700000000003</v>
      </c>
      <c r="U8" s="34">
        <v>18.277899999999999</v>
      </c>
      <c r="V8" s="34">
        <v>2.7003900000000001</v>
      </c>
      <c r="W8" s="159">
        <v>8.1408499999999998E-3</v>
      </c>
      <c r="X8" s="34">
        <v>1.54012E-2</v>
      </c>
      <c r="Y8" s="160">
        <v>0</v>
      </c>
      <c r="Z8" s="34">
        <v>0.11222329086456113</v>
      </c>
      <c r="AA8" s="34">
        <v>0.12190829090896689</v>
      </c>
      <c r="AB8" s="103">
        <v>0.1220248589586642</v>
      </c>
      <c r="AC8" s="100">
        <f t="shared" si="20"/>
        <v>0.92055503385214477</v>
      </c>
      <c r="AD8" s="95">
        <f>W8/26.98</f>
        <v>3.0173647146034097E-4</v>
      </c>
      <c r="AE8" s="60">
        <f>X8/55.845</f>
        <v>2.7578476139314173E-4</v>
      </c>
      <c r="AF8" s="60">
        <f>Y8/54.938</f>
        <v>0</v>
      </c>
      <c r="AG8" s="34"/>
      <c r="AH8" s="34"/>
      <c r="AI8" s="163"/>
      <c r="AJ8" s="143">
        <f>1.59553952326245*10</f>
        <v>15.9553952326245</v>
      </c>
      <c r="AK8" s="143">
        <v>5.7389042342330789</v>
      </c>
      <c r="AL8" s="143">
        <v>32.89905319260923</v>
      </c>
      <c r="AM8" s="143">
        <v>0.29777800691237177</v>
      </c>
      <c r="AN8" s="143"/>
      <c r="AO8" s="136">
        <v>59</v>
      </c>
      <c r="AP8" s="136">
        <v>44</v>
      </c>
      <c r="AQ8" s="136">
        <v>6</v>
      </c>
      <c r="AR8" s="56">
        <f>AO8-AP8</f>
        <v>15</v>
      </c>
      <c r="AS8" s="85">
        <f t="shared" si="21"/>
        <v>38</v>
      </c>
      <c r="AU8" s="50">
        <v>3.42</v>
      </c>
      <c r="AV8" s="51">
        <f t="shared" si="22"/>
        <v>3.8018939632056113E-4</v>
      </c>
      <c r="AW8" s="51">
        <v>3.1622776601683798E-2</v>
      </c>
      <c r="AX8" s="51">
        <f t="shared" si="23"/>
        <v>1.2022644346174128E-5</v>
      </c>
      <c r="AY8" s="51">
        <v>5.0118723362727197E-7</v>
      </c>
      <c r="AZ8" s="51">
        <f>+((AY8/(10^(-I8)))*AX8)*1000000</f>
        <v>173.78008287493739</v>
      </c>
      <c r="BA8" s="51">
        <v>5.6234132519034893E-11</v>
      </c>
      <c r="BB8" s="51">
        <f>+(((AY8*BA8)/(10^(-I8)))*AX8)*1000000</f>
        <v>9.7723722095580961E-9</v>
      </c>
      <c r="BC8" s="169"/>
      <c r="BD8" s="107">
        <f>+AZ8+2*BB8</f>
        <v>173.78008289448215</v>
      </c>
      <c r="BE8" s="57">
        <f>+(5.5*(P8))*(10^-(0.96+0.9*I8-0.039*((I8)^2)))/((10^-(0.96+0.9*I8-0.039*((I8)^2)))+(10^-I8))</f>
        <v>25.251822554650722</v>
      </c>
      <c r="BF8" s="57">
        <f>+(5.5*(P8))*(10^-(0.96+0.9*4.5-0.039*((4.5)^2)))/((10^-(0.96+0.9*4.5-0.039*((4.5)^2)))+(10^-4.5))</f>
        <v>16.740435672057096</v>
      </c>
      <c r="BG8" s="62">
        <v>2.7142857142857326</v>
      </c>
      <c r="BH8" s="36"/>
      <c r="BI8" s="23">
        <f>(10^-I8)*1000000</f>
        <v>3.4673685045253172E-2</v>
      </c>
      <c r="BJ8" s="25">
        <f>(S8/40.078*1000)*2</f>
        <v>918.02485153949783</v>
      </c>
      <c r="BK8" s="25">
        <f>(T8/24.312*1000)*2</f>
        <v>340.93205001645276</v>
      </c>
      <c r="BL8" s="25">
        <f>(U8/22.99*1000)</f>
        <v>795.0369725967812</v>
      </c>
      <c r="BM8" s="25">
        <f>(V8/39.102*1000)</f>
        <v>69.06015037593987</v>
      </c>
      <c r="BN8" s="25">
        <f>(AJ8/96.064*1000)*2</f>
        <v>332.18261227149611</v>
      </c>
      <c r="BO8" s="25">
        <f>(AK8/62.0067*1000)</f>
        <v>92.552969827987596</v>
      </c>
      <c r="BP8" s="25">
        <f>(AL8/35.453*1000)</f>
        <v>927.96246277068872</v>
      </c>
      <c r="BQ8" s="24">
        <f>(AM8/18.998)*1000</f>
        <v>15.674176592924082</v>
      </c>
      <c r="BR8" s="23">
        <f>+AQ8/30.97*3</f>
        <v>0.58120762027768813</v>
      </c>
      <c r="BS8" s="25">
        <f>IF(I8&lt;5.5,0,J8-31.62+BI8)-(BE8-BF8)</f>
        <v>944.15128036642182</v>
      </c>
      <c r="BT8" s="170">
        <f t="shared" si="24"/>
        <v>25.251822554650722</v>
      </c>
      <c r="BU8" s="26"/>
      <c r="BV8" s="25">
        <f t="shared" si="0"/>
        <v>-190.01601123607907</v>
      </c>
      <c r="BW8" s="27">
        <f t="shared" si="1"/>
        <v>-4.2833121501832379</v>
      </c>
      <c r="BX8" s="110">
        <f t="shared" si="2"/>
        <v>1.7457304598384067E-3</v>
      </c>
      <c r="BY8" s="23">
        <f t="shared" si="25"/>
        <v>0.95211895419131687</v>
      </c>
      <c r="BZ8" s="23">
        <f t="shared" si="26"/>
        <v>0.821797552743184</v>
      </c>
      <c r="CA8" s="46">
        <f t="shared" si="27"/>
        <v>0.77139444254570877</v>
      </c>
      <c r="CB8" s="110">
        <f t="shared" si="6"/>
        <v>3.3013472743245554E-11</v>
      </c>
      <c r="CC8" s="110">
        <f t="shared" si="7"/>
        <v>3.7721528817629211E-7</v>
      </c>
      <c r="CD8" s="110">
        <f t="shared" si="8"/>
        <v>1.4008856217761887E-7</v>
      </c>
      <c r="CE8" s="110">
        <f t="shared" si="9"/>
        <v>7.5696977089227811E-7</v>
      </c>
      <c r="CF8" s="110">
        <f t="shared" si="10"/>
        <v>6.5753478152234949E-8</v>
      </c>
      <c r="CG8" s="110">
        <f t="shared" si="11"/>
        <v>1.3649342891427674E-7</v>
      </c>
      <c r="CH8" s="110">
        <f t="shared" si="12"/>
        <v>8.8353064958202704E-7</v>
      </c>
      <c r="CI8" s="110">
        <f t="shared" si="13"/>
        <v>8.812143683992407E-8</v>
      </c>
      <c r="CJ8" s="47">
        <f>(BY8*AZ8*10^-9)</f>
        <v>1.6545931076616577E-7</v>
      </c>
      <c r="CK8" s="110">
        <f t="shared" si="14"/>
        <v>1.1541510071038646E-8</v>
      </c>
      <c r="CL8" s="110">
        <f t="shared" si="28"/>
        <v>4.4888619292978764E-5</v>
      </c>
      <c r="CM8" s="110">
        <f t="shared" si="29"/>
        <v>1.48493875908276E-5</v>
      </c>
      <c r="CN8" s="110">
        <f t="shared" si="30"/>
        <v>3.7924185521703134E-5</v>
      </c>
      <c r="CO8" s="110">
        <f t="shared" si="31"/>
        <v>4.8328806441892691E-6</v>
      </c>
      <c r="CP8" s="110">
        <f t="shared" si="32"/>
        <v>2.1838948626284279E-5</v>
      </c>
      <c r="CQ8" s="110">
        <f t="shared" si="33"/>
        <v>6.7413388563108663E-5</v>
      </c>
      <c r="CR8" s="110">
        <f t="shared" si="34"/>
        <v>6.2918705903705787E-6</v>
      </c>
      <c r="CS8" s="47">
        <f t="shared" si="35"/>
        <v>7.3629393290943765E-6</v>
      </c>
      <c r="CT8" s="172">
        <f t="shared" si="15"/>
        <v>19.805082233953335</v>
      </c>
      <c r="CU8" s="172">
        <f>K8/10</f>
        <v>20.9</v>
      </c>
      <c r="CV8" s="24">
        <f t="shared" si="36"/>
        <v>1.0949177660466631</v>
      </c>
      <c r="CW8" s="27">
        <f t="shared" si="37"/>
        <v>5.238840985869202</v>
      </c>
    </row>
    <row r="9" spans="1:102" ht="15.75" x14ac:dyDescent="0.25">
      <c r="B9" s="30">
        <v>6</v>
      </c>
      <c r="C9" s="29" t="s">
        <v>105</v>
      </c>
      <c r="D9" s="29" t="s">
        <v>22</v>
      </c>
      <c r="E9" s="42" t="s">
        <v>133</v>
      </c>
      <c r="F9" s="33">
        <v>2000</v>
      </c>
      <c r="H9" s="28"/>
      <c r="I9" s="67">
        <v>7.52</v>
      </c>
      <c r="J9" s="121">
        <v>865.64042570167499</v>
      </c>
      <c r="K9" s="74">
        <v>198.3</v>
      </c>
      <c r="L9" s="78">
        <v>22.5</v>
      </c>
      <c r="M9" s="138">
        <v>0.192</v>
      </c>
      <c r="N9" s="158">
        <v>1.7000000000000001E-2</v>
      </c>
      <c r="O9" s="158">
        <v>3.0000000000000001E-3</v>
      </c>
      <c r="P9" s="131">
        <v>4.7930000000000001</v>
      </c>
      <c r="Q9" s="131">
        <f t="shared" si="18"/>
        <v>4.0058418527018566E-2</v>
      </c>
      <c r="R9" s="131">
        <f t="shared" si="19"/>
        <v>11.294117647058822</v>
      </c>
      <c r="S9" s="34">
        <v>18.091999999999999</v>
      </c>
      <c r="T9" s="123">
        <v>2.8195100000000002</v>
      </c>
      <c r="U9" s="34">
        <v>18.245999999999999</v>
      </c>
      <c r="V9" s="34">
        <v>1.73377</v>
      </c>
      <c r="W9" s="159">
        <v>0</v>
      </c>
      <c r="X9" s="160">
        <v>0</v>
      </c>
      <c r="Y9" s="160">
        <v>0</v>
      </c>
      <c r="Z9" s="34">
        <v>0.10249048075042291</v>
      </c>
      <c r="AA9" s="34">
        <v>0.11256744122193867</v>
      </c>
      <c r="AB9" s="103">
        <v>0.11379466210644078</v>
      </c>
      <c r="AC9" s="100">
        <f t="shared" si="20"/>
        <v>0.9104806828499552</v>
      </c>
      <c r="AD9" s="95">
        <f>W9/26.98</f>
        <v>0</v>
      </c>
      <c r="AE9" s="60">
        <f>X9/55.845</f>
        <v>0</v>
      </c>
      <c r="AF9" s="60">
        <f>Y9/54.938</f>
        <v>0</v>
      </c>
      <c r="AG9" s="88"/>
      <c r="AH9" s="34"/>
      <c r="AI9" s="164"/>
      <c r="AJ9" s="143">
        <f>1.96422459850086*10</f>
        <v>19.6422459850086</v>
      </c>
      <c r="AK9" s="143">
        <v>3.3724362312077112</v>
      </c>
      <c r="AL9" s="143">
        <v>33.5144841784292</v>
      </c>
      <c r="AM9" s="143">
        <v>0.17948809487821113</v>
      </c>
      <c r="AN9" s="143">
        <v>0.42962102958560905</v>
      </c>
      <c r="AO9" s="136">
        <v>43</v>
      </c>
      <c r="AP9" s="136">
        <v>33</v>
      </c>
      <c r="AQ9" s="136">
        <v>4</v>
      </c>
      <c r="AR9" s="56">
        <f>AO9-AP9</f>
        <v>10</v>
      </c>
      <c r="AS9" s="85">
        <f t="shared" si="21"/>
        <v>29</v>
      </c>
      <c r="AU9" s="50">
        <v>3.42</v>
      </c>
      <c r="AV9" s="51">
        <f t="shared" si="22"/>
        <v>3.8018939632056113E-4</v>
      </c>
      <c r="AW9" s="51">
        <v>3.1622776601683798E-2</v>
      </c>
      <c r="AX9" s="51">
        <f t="shared" si="23"/>
        <v>1.2022644346174128E-5</v>
      </c>
      <c r="AY9" s="51">
        <v>5.0118723362727197E-7</v>
      </c>
      <c r="AZ9" s="51">
        <f>+((AY9/(10^(-I9)))*AX9)*1000000</f>
        <v>199.52623149688765</v>
      </c>
      <c r="BA9" s="51">
        <v>5.6234132519034893E-11</v>
      </c>
      <c r="BB9" s="51">
        <f>+(((AY9*BA9)/(10^(-I9)))*AX9)*1000000</f>
        <v>1.1220184543019612E-8</v>
      </c>
      <c r="BC9" s="169"/>
      <c r="BD9" s="107">
        <f>+AZ9+2*BB9</f>
        <v>199.52623151932801</v>
      </c>
      <c r="BE9" s="57">
        <f>+(5.5*(P9))*(10^-(0.96+0.9*I9-0.039*((I9)^2)))/((10^-(0.96+0.9*I9-0.039*((I9)^2)))+(10^-I9))</f>
        <v>26.098982669698081</v>
      </c>
      <c r="BF9" s="57">
        <f>+(5.5*(P9))*(10^-(0.96+0.9*4.5-0.039*((4.5)^2)))/((10^-(0.96+0.9*4.5-0.039*((4.5)^2)))+(10^-4.5))</f>
        <v>17.284986681639303</v>
      </c>
      <c r="BG9" s="62">
        <v>1.6285714285713921</v>
      </c>
      <c r="BH9" s="36"/>
      <c r="BI9" s="23">
        <f>(10^-I9)*1000000</f>
        <v>3.0199517204020188E-2</v>
      </c>
      <c r="BJ9" s="25">
        <f>(S9/40.078*1000)*2</f>
        <v>902.83946304705808</v>
      </c>
      <c r="BK9" s="25">
        <f>(T9/24.312*1000)*2</f>
        <v>231.94389601842713</v>
      </c>
      <c r="BL9" s="25">
        <f>(U9/22.99*1000)</f>
        <v>793.64941278816877</v>
      </c>
      <c r="BM9" s="24">
        <f>(V9/39.102*1000)</f>
        <v>44.33967571991203</v>
      </c>
      <c r="BN9" s="25">
        <f>(AJ9/96.064*1000)*2</f>
        <v>408.94083080047886</v>
      </c>
      <c r="BO9" s="24">
        <f>(AK9/62.0067*1000)</f>
        <v>54.388255320920337</v>
      </c>
      <c r="BP9" s="25">
        <f>(AL9/35.453*1000)</f>
        <v>945.32152930440861</v>
      </c>
      <c r="BQ9" s="23">
        <f>(AM9/18.998)*1000</f>
        <v>9.4477363342568239</v>
      </c>
      <c r="BR9" s="23">
        <f>+AQ9/30.97*3</f>
        <v>0.38747174685179209</v>
      </c>
      <c r="BS9" s="25">
        <f>IF(I9&lt;5.5,0,J9-31.62+BI9)-(BE9-BF9)</f>
        <v>825.2366292308202</v>
      </c>
      <c r="BT9" s="170">
        <f t="shared" si="24"/>
        <v>26.098982669698081</v>
      </c>
      <c r="BU9" s="26"/>
      <c r="BV9" s="25">
        <f t="shared" si="0"/>
        <v>-270.91980564696655</v>
      </c>
      <c r="BW9" s="27">
        <f t="shared" si="1"/>
        <v>-6.4251913419888176</v>
      </c>
      <c r="BX9" s="110">
        <f t="shared" si="2"/>
        <v>1.6954504994254173E-3</v>
      </c>
      <c r="BY9" s="23">
        <f t="shared" si="25"/>
        <v>0.95279686007342557</v>
      </c>
      <c r="BZ9" s="23">
        <f t="shared" si="26"/>
        <v>0.82414052325853748</v>
      </c>
      <c r="CA9" s="46">
        <f t="shared" si="27"/>
        <v>0.77430431296443103</v>
      </c>
      <c r="CB9" s="110">
        <f t="shared" si="6"/>
        <v>2.8774005167723836E-11</v>
      </c>
      <c r="CC9" s="110">
        <f t="shared" si="7"/>
        <v>3.7203329374702976E-7</v>
      </c>
      <c r="CD9" s="110">
        <f t="shared" si="8"/>
        <v>9.5577181915625177E-8</v>
      </c>
      <c r="CE9" s="110">
        <f t="shared" si="9"/>
        <v>7.5618666850368516E-7</v>
      </c>
      <c r="CF9" s="110">
        <f t="shared" si="10"/>
        <v>4.2246703802606085E-8</v>
      </c>
      <c r="CG9" s="110">
        <f t="shared" si="11"/>
        <v>1.6851235513884385E-7</v>
      </c>
      <c r="CH9" s="110">
        <f t="shared" si="12"/>
        <v>9.0069938488104926E-7</v>
      </c>
      <c r="CI9" s="110">
        <f t="shared" si="13"/>
        <v>5.182095889464468E-8</v>
      </c>
      <c r="CJ9" s="47">
        <f>(BY9*AZ9*10^-9)</f>
        <v>1.9010796687251798E-7</v>
      </c>
      <c r="CK9" s="110">
        <f t="shared" si="14"/>
        <v>1.0059392206636254E-8</v>
      </c>
      <c r="CL9" s="110">
        <f t="shared" si="28"/>
        <v>4.4271961955896541E-5</v>
      </c>
      <c r="CM9" s="110">
        <f t="shared" si="29"/>
        <v>1.0131181283056268E-5</v>
      </c>
      <c r="CN9" s="110">
        <f t="shared" si="30"/>
        <v>3.7884952092034625E-5</v>
      </c>
      <c r="CO9" s="110">
        <f t="shared" si="31"/>
        <v>3.1051327294915474E-6</v>
      </c>
      <c r="CP9" s="110">
        <f t="shared" si="32"/>
        <v>2.6961976822215015E-5</v>
      </c>
      <c r="CQ9" s="110">
        <f t="shared" si="33"/>
        <v>6.8723363066424051E-5</v>
      </c>
      <c r="CR9" s="110">
        <f t="shared" si="34"/>
        <v>3.7000164650776306E-6</v>
      </c>
      <c r="CS9" s="47">
        <f t="shared" si="35"/>
        <v>8.4598045258270498E-6</v>
      </c>
      <c r="CT9" s="172">
        <f t="shared" si="15"/>
        <v>19.478864380640232</v>
      </c>
      <c r="CU9" s="172">
        <f>K9/10</f>
        <v>19.830000000000002</v>
      </c>
      <c r="CV9" s="24">
        <f t="shared" si="36"/>
        <v>0.35113561935976989</v>
      </c>
      <c r="CW9" s="27">
        <f t="shared" si="37"/>
        <v>1.7707292958132621</v>
      </c>
    </row>
    <row r="10" spans="1:102" ht="15.75" x14ac:dyDescent="0.25">
      <c r="B10" s="30">
        <v>7</v>
      </c>
      <c r="C10" s="29" t="s">
        <v>106</v>
      </c>
      <c r="D10" s="29" t="s">
        <v>22</v>
      </c>
      <c r="E10" s="42" t="s">
        <v>134</v>
      </c>
      <c r="F10" s="33">
        <v>2000</v>
      </c>
      <c r="H10" s="28"/>
      <c r="I10" s="67">
        <v>7.39</v>
      </c>
      <c r="J10" s="121">
        <v>1194.6945799962623</v>
      </c>
      <c r="K10" s="74">
        <v>261</v>
      </c>
      <c r="L10" s="78">
        <v>22.5</v>
      </c>
      <c r="M10" s="138">
        <v>0.13200000000000001</v>
      </c>
      <c r="N10" s="158">
        <v>1.6E-2</v>
      </c>
      <c r="O10" s="158">
        <v>7.0000000000000001E-3</v>
      </c>
      <c r="P10" s="131">
        <v>4.008</v>
      </c>
      <c r="Q10" s="131">
        <f t="shared" si="18"/>
        <v>3.2934131736526949E-2</v>
      </c>
      <c r="R10" s="131">
        <f t="shared" si="19"/>
        <v>8.25</v>
      </c>
      <c r="S10" s="34">
        <v>22.299099999999999</v>
      </c>
      <c r="T10" s="123">
        <v>3.0527299999999999</v>
      </c>
      <c r="U10" s="34">
        <v>25.276700000000002</v>
      </c>
      <c r="V10" s="34">
        <v>2.7717800000000001</v>
      </c>
      <c r="W10" s="159">
        <v>0</v>
      </c>
      <c r="X10" s="160">
        <v>0</v>
      </c>
      <c r="Y10" s="160">
        <v>0</v>
      </c>
      <c r="Z10" s="34">
        <v>6.3078067659013776E-2</v>
      </c>
      <c r="AA10" s="34">
        <v>6.7293132457088983E-2</v>
      </c>
      <c r="AB10" s="103">
        <v>6.865002707351732E-2</v>
      </c>
      <c r="AC10" s="100">
        <f t="shared" si="20"/>
        <v>0.9373626305661571</v>
      </c>
      <c r="AD10" s="95">
        <f>W10/26.98</f>
        <v>0</v>
      </c>
      <c r="AE10" s="60">
        <f>X10/55.845</f>
        <v>0</v>
      </c>
      <c r="AF10" s="60">
        <f>Y10/54.938</f>
        <v>0</v>
      </c>
      <c r="AG10" s="88"/>
      <c r="AH10" s="34"/>
      <c r="AI10" s="164"/>
      <c r="AJ10" s="143">
        <f>2.35888038177567*10</f>
        <v>23.588803817756698</v>
      </c>
      <c r="AK10" s="143">
        <v>0.39617740460422146</v>
      </c>
      <c r="AL10" s="143">
        <v>44.235860060574765</v>
      </c>
      <c r="AM10" s="143">
        <v>0.15715786581948643</v>
      </c>
      <c r="AN10" s="143"/>
      <c r="AO10" s="136">
        <v>50</v>
      </c>
      <c r="AP10" s="136">
        <v>37</v>
      </c>
      <c r="AQ10" s="136">
        <v>3</v>
      </c>
      <c r="AR10" s="56">
        <f>AO10-AP10</f>
        <v>13</v>
      </c>
      <c r="AS10" s="85">
        <f t="shared" si="21"/>
        <v>34</v>
      </c>
      <c r="AU10" s="50">
        <v>3.42</v>
      </c>
      <c r="AV10" s="51">
        <f t="shared" si="22"/>
        <v>3.8018939632056113E-4</v>
      </c>
      <c r="AW10" s="51">
        <v>3.1622776601683798E-2</v>
      </c>
      <c r="AX10" s="51">
        <f t="shared" si="23"/>
        <v>1.2022644346174128E-5</v>
      </c>
      <c r="AY10" s="51">
        <v>5.0118723362727197E-7</v>
      </c>
      <c r="AZ10" s="51">
        <f>+((AY10/(10^(-I10)))*AX10)*1000000</f>
        <v>147.9108388168207</v>
      </c>
      <c r="BA10" s="51">
        <v>5.6234132519034893E-11</v>
      </c>
      <c r="BB10" s="51">
        <f>+(((AY10*BA10)/(10^(-I10)))*AX10)*1000000</f>
        <v>8.3176377110267054E-9</v>
      </c>
      <c r="BC10" s="169"/>
      <c r="BD10" s="107">
        <f>+AZ10+2*BB10</f>
        <v>147.91083883345598</v>
      </c>
      <c r="BE10" s="57">
        <f>+(5.5*(P10))*(10^-(0.96+0.9*I10-0.039*((I10)^2)))/((10^-(0.96+0.9*I10-0.039*((I10)^2)))+(10^-I10))</f>
        <v>21.775407188738708</v>
      </c>
      <c r="BF10" s="57">
        <f>+(5.5*(P10))*(10^-(0.96+0.9*4.5-0.039*((4.5)^2)))/((10^-(0.96+0.9*4.5-0.039*((4.5)^2)))+(10^-4.5))</f>
        <v>14.454042691427151</v>
      </c>
      <c r="BG10" s="62">
        <v>3.799999999999994</v>
      </c>
      <c r="BH10" s="36"/>
      <c r="BI10" s="23">
        <f>(10^-I10)*1000000</f>
        <v>4.0738027780411253E-2</v>
      </c>
      <c r="BJ10" s="25">
        <f>(S10/40.078*1000)*2</f>
        <v>1112.7850691152253</v>
      </c>
      <c r="BK10" s="25">
        <f>(T10/24.312*1000)*2</f>
        <v>251.12948338269163</v>
      </c>
      <c r="BL10" s="25">
        <f>(U10/22.99*1000)</f>
        <v>1099.4649847759897</v>
      </c>
      <c r="BM10" s="25">
        <f>(V10/39.102*1000)</f>
        <v>70.885888189862428</v>
      </c>
      <c r="BN10" s="25">
        <f>(AJ10/96.064*1000)*2</f>
        <v>491.10600886402187</v>
      </c>
      <c r="BO10" s="24">
        <f>(AK10/62.0067*1000)</f>
        <v>6.389267685656896</v>
      </c>
      <c r="BP10" s="25">
        <f>(AL10/35.453*1000)</f>
        <v>1247.732492612043</v>
      </c>
      <c r="BQ10" s="23">
        <f>(AM10/18.998)*1000</f>
        <v>8.2723373944355405</v>
      </c>
      <c r="BR10" s="23">
        <f>+AQ10/30.97*3</f>
        <v>0.29060381013884407</v>
      </c>
      <c r="BS10" s="25">
        <f>IF(I10&lt;5.5,0,J10-31.62+BI10)-(BE10-BF10)</f>
        <v>1155.7939535267312</v>
      </c>
      <c r="BT10" s="170">
        <f t="shared" si="24"/>
        <v>21.775407188738708</v>
      </c>
      <c r="BU10" s="26"/>
      <c r="BV10" s="25">
        <f t="shared" si="0"/>
        <v>-375.27850040147769</v>
      </c>
      <c r="BW10" s="27">
        <f t="shared" si="1"/>
        <v>-6.8935713867313853</v>
      </c>
      <c r="BX10" s="110">
        <f t="shared" si="2"/>
        <v>2.1439031350238532E-3</v>
      </c>
      <c r="BY10" s="23">
        <f t="shared" si="25"/>
        <v>0.94707816970846981</v>
      </c>
      <c r="BZ10" s="23">
        <f t="shared" si="26"/>
        <v>0.80453196665567428</v>
      </c>
      <c r="CA10" s="46">
        <f t="shared" si="27"/>
        <v>0.75003412003764247</v>
      </c>
      <c r="CB10" s="110">
        <f t="shared" si="6"/>
        <v>3.8582096787804688E-11</v>
      </c>
      <c r="CC10" s="110">
        <f t="shared" si="7"/>
        <v>4.4763558006017133E-7</v>
      </c>
      <c r="CD10" s="110">
        <f t="shared" si="8"/>
        <v>1.010208485755502E-7</v>
      </c>
      <c r="CE10" s="110">
        <f t="shared" si="9"/>
        <v>1.0412792854401952E-6</v>
      </c>
      <c r="CF10" s="110">
        <f t="shared" si="10"/>
        <v>6.7134477245014147E-8</v>
      </c>
      <c r="CG10" s="110">
        <f t="shared" si="11"/>
        <v>1.9755524157389529E-7</v>
      </c>
      <c r="CH10" s="110">
        <f t="shared" si="12"/>
        <v>1.1817002053888005E-6</v>
      </c>
      <c r="CI10" s="110">
        <f t="shared" si="13"/>
        <v>6.0511359455094038E-9</v>
      </c>
      <c r="CJ10" s="47">
        <f>(BY10*AZ10*10^-9)</f>
        <v>1.4008312650667905E-7</v>
      </c>
      <c r="CK10" s="110">
        <f t="shared" si="14"/>
        <v>1.3488301037016519E-8</v>
      </c>
      <c r="CL10" s="110">
        <f t="shared" si="28"/>
        <v>5.3268634027160389E-5</v>
      </c>
      <c r="CM10" s="110">
        <f t="shared" si="29"/>
        <v>1.0708209949008321E-5</v>
      </c>
      <c r="CN10" s="110">
        <f t="shared" si="30"/>
        <v>5.2168092200553784E-5</v>
      </c>
      <c r="CO10" s="110">
        <f t="shared" si="31"/>
        <v>4.9343840775085402E-6</v>
      </c>
      <c r="CP10" s="110">
        <f t="shared" si="32"/>
        <v>3.1608838651823246E-5</v>
      </c>
      <c r="CQ10" s="110">
        <f t="shared" si="33"/>
        <v>9.0163725671165476E-5</v>
      </c>
      <c r="CR10" s="110">
        <f t="shared" si="34"/>
        <v>4.3205110650937146E-7</v>
      </c>
      <c r="CS10" s="47">
        <f t="shared" si="35"/>
        <v>6.2336991295472178E-6</v>
      </c>
      <c r="CT10" s="172">
        <f t="shared" si="15"/>
        <v>24.329742398476615</v>
      </c>
      <c r="CU10" s="172">
        <f>K10/10</f>
        <v>26.1</v>
      </c>
      <c r="CV10" s="24">
        <f t="shared" si="36"/>
        <v>1.7702576015233866</v>
      </c>
      <c r="CW10" s="27">
        <f t="shared" si="37"/>
        <v>6.7825961744191048</v>
      </c>
    </row>
    <row r="11" spans="1:102" ht="15.75" x14ac:dyDescent="0.25">
      <c r="B11" s="30">
        <v>8</v>
      </c>
      <c r="C11" s="29" t="s">
        <v>103</v>
      </c>
      <c r="D11" s="29" t="s">
        <v>0</v>
      </c>
      <c r="E11" s="42" t="s">
        <v>135</v>
      </c>
      <c r="F11" s="33">
        <v>2000</v>
      </c>
      <c r="H11" s="28"/>
      <c r="I11" s="67">
        <v>6.78</v>
      </c>
      <c r="J11" s="121">
        <v>261.03629854471654</v>
      </c>
      <c r="K11" s="74">
        <v>51.7</v>
      </c>
      <c r="L11" s="78">
        <v>22.2</v>
      </c>
      <c r="M11" s="138">
        <v>0.11799999999999999</v>
      </c>
      <c r="N11" s="62">
        <v>1.4E-2</v>
      </c>
      <c r="O11" s="62">
        <v>3.0000000000000001E-3</v>
      </c>
      <c r="P11" s="131">
        <v>2.2410000000000001</v>
      </c>
      <c r="Q11" s="131">
        <f t="shared" si="18"/>
        <v>5.2655064703257468E-2</v>
      </c>
      <c r="R11" s="131">
        <f t="shared" si="19"/>
        <v>8.4285714285714288</v>
      </c>
      <c r="S11" s="34">
        <v>4.5287100000000002</v>
      </c>
      <c r="T11" s="123">
        <v>0.76590800000000003</v>
      </c>
      <c r="U11" s="34">
        <v>3.6961400000000002</v>
      </c>
      <c r="V11" s="160">
        <v>0</v>
      </c>
      <c r="W11" s="159">
        <v>0</v>
      </c>
      <c r="X11" s="160">
        <v>0</v>
      </c>
      <c r="Y11" s="160">
        <v>0</v>
      </c>
      <c r="Z11" s="34">
        <v>0.13595931822718699</v>
      </c>
      <c r="AA11" s="34">
        <v>0.15096238848842103</v>
      </c>
      <c r="AB11" s="103">
        <v>0.15024025585424136</v>
      </c>
      <c r="AC11" s="100">
        <f t="shared" si="20"/>
        <v>0.9006171642389933</v>
      </c>
      <c r="AD11" s="95">
        <f>W11/26.98</f>
        <v>0</v>
      </c>
      <c r="AE11" s="60">
        <f>X11/55.845</f>
        <v>0</v>
      </c>
      <c r="AF11" s="60">
        <f>Y11/54.938</f>
        <v>0</v>
      </c>
      <c r="AG11" s="34"/>
      <c r="AH11" s="34"/>
      <c r="AI11" s="163"/>
      <c r="AJ11" s="143">
        <v>4.5762153433329855</v>
      </c>
      <c r="AK11" s="143">
        <v>0.65000473225139788</v>
      </c>
      <c r="AL11" s="143">
        <v>7.7247793267257343</v>
      </c>
      <c r="AM11" s="143">
        <v>9.9447393950438001E-2</v>
      </c>
      <c r="AN11" s="143">
        <v>0.4116527681209487</v>
      </c>
      <c r="AO11" s="136">
        <v>42</v>
      </c>
      <c r="AP11" s="136">
        <v>37</v>
      </c>
      <c r="AQ11" s="136">
        <v>3</v>
      </c>
      <c r="AR11" s="56">
        <f>AO11-AP11</f>
        <v>5</v>
      </c>
      <c r="AS11" s="85">
        <f t="shared" si="21"/>
        <v>34</v>
      </c>
      <c r="AU11" s="50">
        <v>3.42</v>
      </c>
      <c r="AV11" s="51">
        <f t="shared" si="22"/>
        <v>3.8018939632056113E-4</v>
      </c>
      <c r="AW11" s="51">
        <v>3.1622776601683798E-2</v>
      </c>
      <c r="AX11" s="51">
        <f t="shared" si="23"/>
        <v>1.2022644346174128E-5</v>
      </c>
      <c r="AY11" s="51">
        <v>5.0118723362727197E-7</v>
      </c>
      <c r="AZ11" s="51">
        <f>+((AY11/(10^(-I11)))*AX11)*1000000</f>
        <v>36.307805477010206</v>
      </c>
      <c r="BA11" s="51">
        <v>5.6234132519034893E-11</v>
      </c>
      <c r="BB11" s="51">
        <f>+(((AY11*BA11)/(10^(-I11)))*AX11)*1000000</f>
        <v>2.0417379446695329E-9</v>
      </c>
      <c r="BC11" s="169"/>
      <c r="BD11" s="107">
        <f>+AZ11+2*BB11</f>
        <v>36.307805481093681</v>
      </c>
      <c r="BE11" s="57">
        <f>+(5.5*(P11))*(10^-(0.96+0.9*I11-0.039*((I11)^2)))/((10^-(0.96+0.9*I11-0.039*((I11)^2)))+(10^-I11))</f>
        <v>11.956656484975232</v>
      </c>
      <c r="BF11" s="57">
        <f>+(5.5*(P11))*(10^-(0.96+0.9*4.5-0.039*((4.5)^2)))/((10^-(0.96+0.9*4.5-0.039*((4.5)^2)))+(10^-4.5))</f>
        <v>8.0817139898922772</v>
      </c>
      <c r="BG11" s="62">
        <v>0.28571428571429391</v>
      </c>
      <c r="BH11" s="36"/>
      <c r="BI11" s="23">
        <f>(10^-I11)*1000000</f>
        <v>0.1659586907437556</v>
      </c>
      <c r="BJ11" s="25">
        <f>(S11/40.078*1000)*2</f>
        <v>225.99481012026547</v>
      </c>
      <c r="BK11" s="24">
        <f>(T11/24.312*1000)*2</f>
        <v>63.006581112207954</v>
      </c>
      <c r="BL11" s="25">
        <f>(U11/22.99*1000)</f>
        <v>160.77163984341018</v>
      </c>
      <c r="BM11" s="24">
        <f>(V11/39.102*1000)</f>
        <v>0</v>
      </c>
      <c r="BN11" s="24">
        <f>(AJ11/96.064*1000)*2</f>
        <v>95.274303450470228</v>
      </c>
      <c r="BO11" s="24">
        <f>(AK11/62.0067*1000)</f>
        <v>10.48281447410357</v>
      </c>
      <c r="BP11" s="25">
        <f>(AL11/35.453*1000)</f>
        <v>217.88788894383362</v>
      </c>
      <c r="BQ11" s="23">
        <f>(AM11/18.998)*1000</f>
        <v>5.2346243789050417</v>
      </c>
      <c r="BR11" s="23">
        <f>+AQ11/30.97*3</f>
        <v>0.29060381013884407</v>
      </c>
      <c r="BS11" s="25">
        <f>IF(I11&lt;5.5,0,J11-31.62+BI11)-(BE11-BF11)</f>
        <v>225.70731474037734</v>
      </c>
      <c r="BT11" s="170">
        <f t="shared" si="24"/>
        <v>11.956656484975232</v>
      </c>
      <c r="BU11" s="26"/>
      <c r="BV11" s="25">
        <f t="shared" si="0"/>
        <v>-104.93856003120129</v>
      </c>
      <c r="BW11" s="27">
        <f t="shared" si="1"/>
        <v>-10.443554211068975</v>
      </c>
      <c r="BX11" s="110">
        <f t="shared" si="2"/>
        <v>3.8940931050696997E-4</v>
      </c>
      <c r="BY11" s="23">
        <f t="shared" si="25"/>
        <v>0.9770930790964506</v>
      </c>
      <c r="BZ11" s="23">
        <f t="shared" si="26"/>
        <v>0.91147287435408619</v>
      </c>
      <c r="CA11" s="46">
        <f t="shared" si="27"/>
        <v>0.88462886761607007</v>
      </c>
      <c r="CB11" s="110">
        <f t="shared" si="6"/>
        <v>1.6215708814163179E-10</v>
      </c>
      <c r="CC11" s="110">
        <f t="shared" si="7"/>
        <v>1.0299406958471215E-7</v>
      </c>
      <c r="CD11" s="110">
        <f t="shared" si="8"/>
        <v>2.8714394794784032E-8</v>
      </c>
      <c r="CE11" s="110">
        <f t="shared" si="9"/>
        <v>1.5708885660598327E-7</v>
      </c>
      <c r="CF11" s="110">
        <f t="shared" si="10"/>
        <v>0</v>
      </c>
      <c r="CG11" s="110">
        <f t="shared" si="11"/>
        <v>4.3419971609041771E-8</v>
      </c>
      <c r="CH11" s="110">
        <f t="shared" si="12"/>
        <v>2.1289674830595589E-7</v>
      </c>
      <c r="CI11" s="110">
        <f t="shared" si="13"/>
        <v>1.0242685472098697E-8</v>
      </c>
      <c r="CJ11" s="47">
        <f>(BY11*AZ11*10^-9)</f>
        <v>3.5476105448766873E-8</v>
      </c>
      <c r="CK11" s="110">
        <f t="shared" si="14"/>
        <v>5.6690118014314478E-8</v>
      </c>
      <c r="CL11" s="110">
        <f t="shared" si="28"/>
        <v>1.2256294280580746E-5</v>
      </c>
      <c r="CM11" s="110">
        <f t="shared" si="29"/>
        <v>3.0437258482471074E-6</v>
      </c>
      <c r="CN11" s="110">
        <f t="shared" si="30"/>
        <v>7.8701517159597628E-6</v>
      </c>
      <c r="CO11" s="110">
        <f t="shared" si="31"/>
        <v>0</v>
      </c>
      <c r="CP11" s="110">
        <f t="shared" si="32"/>
        <v>6.9471954574466838E-6</v>
      </c>
      <c r="CQ11" s="110">
        <f t="shared" si="33"/>
        <v>1.6244021895744433E-5</v>
      </c>
      <c r="CR11" s="110">
        <f t="shared" si="34"/>
        <v>7.3132774270784705E-7</v>
      </c>
      <c r="CS11" s="47">
        <f t="shared" si="35"/>
        <v>1.5786866924701258E-6</v>
      </c>
      <c r="CT11" s="172">
        <f t="shared" si="15"/>
        <v>4.7149407058700898</v>
      </c>
      <c r="CU11" s="172">
        <f>K11/10</f>
        <v>5.17</v>
      </c>
      <c r="CV11" s="24">
        <f t="shared" si="36"/>
        <v>0.45505929412991009</v>
      </c>
      <c r="CW11" s="27">
        <f t="shared" si="37"/>
        <v>8.8019205827835609</v>
      </c>
    </row>
    <row r="12" spans="1:102" ht="15.75" x14ac:dyDescent="0.25">
      <c r="B12" s="30">
        <v>9</v>
      </c>
      <c r="C12" s="29" t="s">
        <v>110</v>
      </c>
      <c r="D12" s="29" t="s">
        <v>0</v>
      </c>
      <c r="E12" s="42" t="s">
        <v>136</v>
      </c>
      <c r="F12" s="33">
        <v>2000</v>
      </c>
      <c r="H12" s="28"/>
      <c r="I12" s="67">
        <v>7.12</v>
      </c>
      <c r="J12" s="121">
        <v>131.40114221936307</v>
      </c>
      <c r="K12" s="74">
        <v>19.07</v>
      </c>
      <c r="L12" s="78">
        <v>21.4</v>
      </c>
      <c r="M12" s="138">
        <v>0.125</v>
      </c>
      <c r="N12" s="62">
        <v>1.2E-2</v>
      </c>
      <c r="O12" s="62">
        <v>2E-3</v>
      </c>
      <c r="P12" s="131">
        <v>2.4460000000000002</v>
      </c>
      <c r="Q12" s="131">
        <f t="shared" si="18"/>
        <v>5.1103843008994274E-2</v>
      </c>
      <c r="R12" s="131">
        <f t="shared" si="19"/>
        <v>10.416666666666666</v>
      </c>
      <c r="S12" s="34">
        <v>1.91856</v>
      </c>
      <c r="T12" s="123">
        <v>0.31007699999999999</v>
      </c>
      <c r="U12" s="34">
        <v>0.12970200000000001</v>
      </c>
      <c r="V12" s="160">
        <v>0</v>
      </c>
      <c r="W12" s="159">
        <v>8.1767200000000002E-3</v>
      </c>
      <c r="X12" s="160">
        <v>0</v>
      </c>
      <c r="Y12" s="160">
        <v>0</v>
      </c>
      <c r="Z12" s="34">
        <v>0.20619958717450132</v>
      </c>
      <c r="AA12" s="34">
        <v>0.22963752686530237</v>
      </c>
      <c r="AB12" s="103">
        <v>0.22648113911742554</v>
      </c>
      <c r="AC12" s="100">
        <f t="shared" si="20"/>
        <v>0.89793506309380799</v>
      </c>
      <c r="AD12" s="95">
        <f>W12/26.98</f>
        <v>3.0306597479614532E-4</v>
      </c>
      <c r="AE12" s="60">
        <f>X12/55.845</f>
        <v>0</v>
      </c>
      <c r="AF12" s="60">
        <f>Y12/54.938</f>
        <v>0</v>
      </c>
      <c r="AG12" s="34"/>
      <c r="AH12" s="34"/>
      <c r="AI12" s="163"/>
      <c r="AJ12" s="143">
        <v>2.0442119047810334</v>
      </c>
      <c r="AK12" s="143">
        <v>0.52516739486969399</v>
      </c>
      <c r="AL12" s="143">
        <v>1.828782955276836</v>
      </c>
      <c r="AM12" s="143">
        <v>8.2007914198478374E-2</v>
      </c>
      <c r="AN12" s="143"/>
      <c r="AO12" s="136">
        <v>39</v>
      </c>
      <c r="AP12" s="136">
        <v>36</v>
      </c>
      <c r="AQ12" s="136">
        <v>2</v>
      </c>
      <c r="AR12" s="56">
        <f>AO12-AP12</f>
        <v>3</v>
      </c>
      <c r="AS12" s="85">
        <f t="shared" si="21"/>
        <v>34</v>
      </c>
      <c r="AU12" s="50">
        <v>3.42</v>
      </c>
      <c r="AV12" s="51">
        <f t="shared" si="22"/>
        <v>3.8018939632056113E-4</v>
      </c>
      <c r="AW12" s="51">
        <v>3.1622776601683798E-2</v>
      </c>
      <c r="AX12" s="51">
        <f t="shared" si="23"/>
        <v>1.2022644346174128E-5</v>
      </c>
      <c r="AY12" s="51">
        <v>5.0118723362727197E-7</v>
      </c>
      <c r="AZ12" s="51">
        <f>+((AY12/(10^(-I12)))*AX12)*1000000</f>
        <v>79.432823472428339</v>
      </c>
      <c r="BA12" s="51">
        <v>5.6234132519034893E-11</v>
      </c>
      <c r="BB12" s="51">
        <f>+(((AY12*BA12)/(10^(-I12)))*AX12)*1000000</f>
        <v>4.4668359215096409E-9</v>
      </c>
      <c r="BC12" s="169"/>
      <c r="BD12" s="107">
        <f>+AZ12+2*BB12</f>
        <v>79.432823481362007</v>
      </c>
      <c r="BE12" s="57">
        <f>+(5.5*(P12))*(10^-(0.96+0.9*I12-0.039*((I12)^2)))/((10^-(0.96+0.9*I12-0.039*((I12)^2)))+(10^-I12))</f>
        <v>13.206561722033289</v>
      </c>
      <c r="BF12" s="57">
        <f>+(5.5*(P12))*(10^-(0.96+0.9*4.5-0.039*((4.5)^2)))/((10^-(0.96+0.9*4.5-0.039*((4.5)^2)))+(10^-4.5))</f>
        <v>8.8210050956164707</v>
      </c>
      <c r="BG12" s="62">
        <v>1.4285714285714299</v>
      </c>
      <c r="BH12" s="36"/>
      <c r="BI12" s="23">
        <f>(10^-I12)*1000000</f>
        <v>7.5857757502918149E-2</v>
      </c>
      <c r="BJ12" s="25">
        <f>(S12/40.078*1000)*2</f>
        <v>95.741304456310189</v>
      </c>
      <c r="BK12" s="25">
        <f>(T12/24.312*1000)*2</f>
        <v>25.508144126357351</v>
      </c>
      <c r="BL12" s="25">
        <f>(U12/22.99*1000)</f>
        <v>5.6416702914310575</v>
      </c>
      <c r="BM12" s="24">
        <f>(V12/39.102*1000)</f>
        <v>0</v>
      </c>
      <c r="BN12" s="25">
        <f>(AJ12/96.064*1000)*2</f>
        <v>42.559375099538507</v>
      </c>
      <c r="BO12" s="24">
        <f>(AK12/62.0067*1000)</f>
        <v>8.4695265974434051</v>
      </c>
      <c r="BP12" s="25">
        <f>(AL12/35.453*1000)</f>
        <v>51.583306216027864</v>
      </c>
      <c r="BQ12" s="23">
        <f>(AM12/18.998)*1000</f>
        <v>4.3166603957510459</v>
      </c>
      <c r="BR12" s="23">
        <f>+AQ12/30.97*3</f>
        <v>0.19373587342589604</v>
      </c>
      <c r="BS12" s="25">
        <f>IF(I12&lt;5.5,0,J12-31.62+BI12)-(BE12-BF12)</f>
        <v>95.471443350449164</v>
      </c>
      <c r="BT12" s="170">
        <f t="shared" si="24"/>
        <v>13.206561722033289</v>
      </c>
      <c r="BU12" s="26"/>
      <c r="BV12" s="25">
        <f t="shared" si="0"/>
        <v>-75.627070901034358</v>
      </c>
      <c r="BW12" s="171">
        <f t="shared" si="1"/>
        <v>-22.947820086681563</v>
      </c>
      <c r="BX12" s="110">
        <f t="shared" si="2"/>
        <v>1.1694792247018116E-4</v>
      </c>
      <c r="BY12" s="23">
        <f t="shared" si="25"/>
        <v>0.98738092835941638</v>
      </c>
      <c r="BZ12" s="23">
        <f t="shared" si="26"/>
        <v>0.95047114671698574</v>
      </c>
      <c r="CA12" s="46">
        <f t="shared" si="27"/>
        <v>0.93502720057677569</v>
      </c>
      <c r="CB12" s="110">
        <f t="shared" si="6"/>
        <v>7.4900503026494809E-11</v>
      </c>
      <c r="CC12" s="110">
        <f t="shared" si="7"/>
        <v>4.5499673717384604E-8</v>
      </c>
      <c r="CD12" s="110">
        <f t="shared" si="8"/>
        <v>1.2122377499200509E-8</v>
      </c>
      <c r="CE12" s="110">
        <f t="shared" si="9"/>
        <v>5.5704776498509376E-9</v>
      </c>
      <c r="CF12" s="110">
        <f t="shared" si="10"/>
        <v>0</v>
      </c>
      <c r="CG12" s="110">
        <f t="shared" si="11"/>
        <v>2.0225729027208348E-8</v>
      </c>
      <c r="CH12" s="110">
        <f t="shared" si="12"/>
        <v>5.0932372779429655E-8</v>
      </c>
      <c r="CI12" s="110">
        <f t="shared" si="13"/>
        <v>8.3626490345484382E-9</v>
      </c>
      <c r="CJ12" s="47">
        <f>(BY12*AZ12*10^-9)</f>
        <v>7.8430454982415944E-8</v>
      </c>
      <c r="CK12" s="110">
        <f t="shared" si="14"/>
        <v>2.6185215858062588E-8</v>
      </c>
      <c r="CL12" s="110">
        <f t="shared" si="28"/>
        <v>5.4144611723687683E-6</v>
      </c>
      <c r="CM12" s="110">
        <f t="shared" si="29"/>
        <v>1.2849720149152539E-6</v>
      </c>
      <c r="CN12" s="110">
        <f t="shared" si="30"/>
        <v>2.7908093025753197E-7</v>
      </c>
      <c r="CO12" s="110">
        <f t="shared" si="31"/>
        <v>0</v>
      </c>
      <c r="CP12" s="110">
        <f t="shared" si="32"/>
        <v>3.2361166443533356E-6</v>
      </c>
      <c r="CQ12" s="110">
        <f t="shared" si="33"/>
        <v>3.8861400430704829E-6</v>
      </c>
      <c r="CR12" s="110">
        <f t="shared" si="34"/>
        <v>5.9709314106675855E-7</v>
      </c>
      <c r="CS12" s="47">
        <f t="shared" si="35"/>
        <v>3.4901552467175095E-6</v>
      </c>
      <c r="CT12" s="172">
        <f t="shared" si="15"/>
        <v>1.4724049161890194</v>
      </c>
      <c r="CU12" s="172">
        <f>K12/10</f>
        <v>1.907</v>
      </c>
      <c r="CV12" s="24">
        <f t="shared" si="36"/>
        <v>0.43459508381098066</v>
      </c>
      <c r="CW12" s="27">
        <f t="shared" si="37"/>
        <v>22.789464279548017</v>
      </c>
    </row>
    <row r="13" spans="1:102" ht="15.75" x14ac:dyDescent="0.25">
      <c r="B13" s="30">
        <v>10</v>
      </c>
      <c r="C13" s="29" t="s">
        <v>111</v>
      </c>
      <c r="D13" s="41" t="s">
        <v>22</v>
      </c>
      <c r="E13" s="42" t="s">
        <v>137</v>
      </c>
      <c r="F13" s="33">
        <v>2000</v>
      </c>
      <c r="H13" s="28"/>
      <c r="I13" s="66">
        <v>8.27</v>
      </c>
      <c r="J13" s="121">
        <v>1753.1808087307006</v>
      </c>
      <c r="K13" s="74">
        <v>195</v>
      </c>
      <c r="L13" s="78">
        <v>21.4</v>
      </c>
      <c r="M13" s="138">
        <v>0.156</v>
      </c>
      <c r="N13" s="62">
        <v>1.0999999999999999E-2</v>
      </c>
      <c r="O13" s="62">
        <v>3.0000000000000001E-3</v>
      </c>
      <c r="P13" s="131">
        <v>6.157</v>
      </c>
      <c r="Q13" s="131">
        <f t="shared" si="18"/>
        <v>2.5337014779925289E-2</v>
      </c>
      <c r="R13" s="131">
        <f t="shared" si="19"/>
        <v>14.181818181818183</v>
      </c>
      <c r="S13" s="34">
        <v>23.033000000000001</v>
      </c>
      <c r="T13" s="123">
        <v>3.7503299999999999</v>
      </c>
      <c r="U13" s="34">
        <v>13.007199999999999</v>
      </c>
      <c r="V13" s="34">
        <v>1.17825</v>
      </c>
      <c r="W13" s="159">
        <v>0</v>
      </c>
      <c r="X13" s="160">
        <v>0</v>
      </c>
      <c r="Y13" s="160">
        <v>0</v>
      </c>
      <c r="Z13" s="34">
        <v>4.6526822594128159E-2</v>
      </c>
      <c r="AA13" s="34">
        <v>5.0738557269187468E-2</v>
      </c>
      <c r="AB13" s="103">
        <v>5.1096604480322917E-2</v>
      </c>
      <c r="AC13" s="100">
        <f t="shared" si="20"/>
        <v>0.91699143803568472</v>
      </c>
      <c r="AD13" s="95">
        <f>W13/26.98</f>
        <v>0</v>
      </c>
      <c r="AE13" s="60">
        <f>X13/55.845</f>
        <v>0</v>
      </c>
      <c r="AF13" s="60">
        <f>Y13/54.938</f>
        <v>0</v>
      </c>
      <c r="AG13" s="88"/>
      <c r="AH13" s="34"/>
      <c r="AI13" s="164"/>
      <c r="AJ13" s="143">
        <v>8.0901061291385137</v>
      </c>
      <c r="AK13" s="168">
        <v>0.2</v>
      </c>
      <c r="AL13" s="143">
        <f>1.44364017998631*10</f>
        <v>14.436401799863098</v>
      </c>
      <c r="AM13" s="143">
        <v>8.110153478837441E-2</v>
      </c>
      <c r="AN13" s="143">
        <v>0.42801908918245646</v>
      </c>
      <c r="AO13" s="136">
        <v>45</v>
      </c>
      <c r="AP13" s="136">
        <v>43</v>
      </c>
      <c r="AQ13" s="136">
        <v>2</v>
      </c>
      <c r="AR13" s="56">
        <f>AO13-AP13</f>
        <v>2</v>
      </c>
      <c r="AS13" s="85">
        <f t="shared" si="21"/>
        <v>41</v>
      </c>
      <c r="AU13" s="50">
        <v>3.42</v>
      </c>
      <c r="AV13" s="51">
        <f t="shared" si="22"/>
        <v>3.8018939632056113E-4</v>
      </c>
      <c r="AW13" s="51">
        <v>3.1622776601683798E-2</v>
      </c>
      <c r="AX13" s="51">
        <f t="shared" si="23"/>
        <v>1.2022644346174128E-5</v>
      </c>
      <c r="AY13" s="51">
        <v>5.0118723362727197E-7</v>
      </c>
      <c r="AZ13" s="51">
        <f>+((AY13/(10^(-I13)))*AX13)*1000000</f>
        <v>1122.0184543019618</v>
      </c>
      <c r="BA13" s="51">
        <v>5.6234132519034893E-11</v>
      </c>
      <c r="BB13" s="51">
        <f>+(((AY13*BA13)/(10^(-I13)))*AX13)*1000000</f>
        <v>6.3095734448019204E-8</v>
      </c>
      <c r="BC13" s="169"/>
      <c r="BD13" s="107">
        <f>+AZ13+2*BB13</f>
        <v>1122.0184544281533</v>
      </c>
      <c r="BE13" s="57">
        <f>+(5.5*(P13))*(10^-(0.96+0.9*I13-0.039*((I13)^2)))/((10^-(0.96+0.9*I13-0.039*((I13)^2)))+(10^-I13))</f>
        <v>33.764839890150554</v>
      </c>
      <c r="BF13" s="57">
        <f>+(5.5*(P13))*(10^-(0.96+0.9*4.5-0.039*((4.5)^2)))/((10^-(0.96+0.9*4.5-0.039*((4.5)^2)))+(10^-4.5))</f>
        <v>22.203977258262718</v>
      </c>
      <c r="BG13" s="62">
        <v>1.4000000000000123</v>
      </c>
      <c r="BH13" s="36"/>
      <c r="BI13" s="23">
        <f>(10^-I13)*1000000</f>
        <v>5.3703179637025322E-3</v>
      </c>
      <c r="BJ13" s="25">
        <f>(S13/40.078*1000)*2</f>
        <v>1149.4086531264034</v>
      </c>
      <c r="BK13" s="24">
        <f>(T13/24.312*1000)*2</f>
        <v>308.51678183613029</v>
      </c>
      <c r="BL13" s="24">
        <f>(U13/22.99*1000)</f>
        <v>565.77642453240537</v>
      </c>
      <c r="BM13" s="24">
        <f>(V13/39.102*1000)</f>
        <v>30.132729783642784</v>
      </c>
      <c r="BN13" s="25">
        <f>(AJ13/96.064*1000)*2</f>
        <v>168.43158996374322</v>
      </c>
      <c r="BO13" s="24">
        <f>(AK13/62.0067*1000)</f>
        <v>3.2254578940662864</v>
      </c>
      <c r="BP13" s="24">
        <f>(AL13/35.453*1000)</f>
        <v>407.19831325594726</v>
      </c>
      <c r="BQ13" s="23">
        <f>(AM13/18.998)*1000</f>
        <v>4.268951194250679</v>
      </c>
      <c r="BR13" s="23">
        <f>+AQ13/30.97*3</f>
        <v>0.19373587342589604</v>
      </c>
      <c r="BS13" s="25">
        <f>IF(I13&lt;5.5,0,J13-31.62+BI13)-(BE13-BF13)</f>
        <v>1710.0053164167766</v>
      </c>
      <c r="BT13" s="170">
        <f t="shared" si="24"/>
        <v>33.764839890150554</v>
      </c>
      <c r="BU13" s="26"/>
      <c r="BV13" s="25">
        <f t="shared" si="0"/>
        <v>-239.48340500166432</v>
      </c>
      <c r="BW13" s="27">
        <f t="shared" si="1"/>
        <v>-5.5089580754600451</v>
      </c>
      <c r="BX13" s="110">
        <f t="shared" si="2"/>
        <v>1.3184821359522765E-3</v>
      </c>
      <c r="BY13" s="23">
        <f t="shared" si="25"/>
        <v>0.95825575514674233</v>
      </c>
      <c r="BZ13" s="23">
        <f t="shared" si="26"/>
        <v>0.84319057797400521</v>
      </c>
      <c r="CA13" s="46">
        <f t="shared" si="27"/>
        <v>0.79806230415386503</v>
      </c>
      <c r="CB13" s="110">
        <f t="shared" si="6"/>
        <v>5.1461380956858854E-12</v>
      </c>
      <c r="CC13" s="110">
        <f t="shared" si="7"/>
        <v>4.8458527327898749E-7</v>
      </c>
      <c r="CD13" s="110">
        <f t="shared" si="8"/>
        <v>1.3006922179554341E-7</v>
      </c>
      <c r="CE13" s="110">
        <f t="shared" si="9"/>
        <v>5.4215851493452397E-7</v>
      </c>
      <c r="CF13" s="110">
        <f t="shared" si="10"/>
        <v>2.8874861733457354E-8</v>
      </c>
      <c r="CG13" s="110">
        <f t="shared" si="11"/>
        <v>7.1009964845304656E-8</v>
      </c>
      <c r="CH13" s="110">
        <f t="shared" si="12"/>
        <v>3.9020012716355748E-7</v>
      </c>
      <c r="CI13" s="110">
        <f t="shared" si="13"/>
        <v>3.0908135899725108E-9</v>
      </c>
      <c r="CJ13" s="47">
        <f>(BY13*AZ13*10^-9)</f>
        <v>1.0751806412157072E-6</v>
      </c>
      <c r="CK13" s="110">
        <f t="shared" si="14"/>
        <v>1.7990898782517857E-9</v>
      </c>
      <c r="CL13" s="110">
        <f t="shared" si="28"/>
        <v>5.7665647520199512E-5</v>
      </c>
      <c r="CM13" s="110">
        <f t="shared" si="29"/>
        <v>1.3787337510327602E-5</v>
      </c>
      <c r="CN13" s="110">
        <f t="shared" si="30"/>
        <v>2.7162141598219652E-5</v>
      </c>
      <c r="CO13" s="110">
        <f t="shared" si="31"/>
        <v>2.1223023374091155E-6</v>
      </c>
      <c r="CP13" s="110">
        <f t="shared" si="32"/>
        <v>1.1361594375248745E-5</v>
      </c>
      <c r="CQ13" s="110">
        <f t="shared" si="33"/>
        <v>2.9772269702579435E-5</v>
      </c>
      <c r="CR13" s="110">
        <f t="shared" si="34"/>
        <v>2.206840903240373E-7</v>
      </c>
      <c r="CS13" s="47">
        <f t="shared" si="35"/>
        <v>4.7845538534098968E-5</v>
      </c>
      <c r="CT13" s="172">
        <f t="shared" si="15"/>
        <v>14.209377622418634</v>
      </c>
      <c r="CU13" s="172">
        <f>K13/10</f>
        <v>19.5</v>
      </c>
      <c r="CV13" s="24">
        <f t="shared" si="36"/>
        <v>5.2906223775813661</v>
      </c>
      <c r="CW13" s="27">
        <f t="shared" si="37"/>
        <v>27.131396808109567</v>
      </c>
    </row>
    <row r="14" spans="1:102" ht="15.75" x14ac:dyDescent="0.25">
      <c r="B14" s="149">
        <v>11</v>
      </c>
      <c r="C14" s="150" t="s">
        <v>109</v>
      </c>
      <c r="D14" s="150" t="s">
        <v>22</v>
      </c>
      <c r="E14" s="151" t="s">
        <v>139</v>
      </c>
      <c r="F14" s="152">
        <v>2000</v>
      </c>
      <c r="H14" s="28"/>
      <c r="I14" s="67">
        <v>6.5</v>
      </c>
      <c r="J14" s="121">
        <v>274.43862139204447</v>
      </c>
      <c r="K14" s="73">
        <v>44</v>
      </c>
      <c r="L14" s="77">
        <v>22.7</v>
      </c>
      <c r="M14" s="138">
        <v>2.7E-2</v>
      </c>
      <c r="N14" s="140">
        <v>2E-3</v>
      </c>
      <c r="O14" s="140">
        <v>1E-3</v>
      </c>
      <c r="P14" s="131">
        <v>0.75080000000000002</v>
      </c>
      <c r="Q14" s="131">
        <f t="shared" si="18"/>
        <v>3.5961640916355883E-2</v>
      </c>
      <c r="R14" s="131">
        <f t="shared" si="19"/>
        <v>13.5</v>
      </c>
      <c r="S14" s="34">
        <v>5.4847400000000004</v>
      </c>
      <c r="T14" s="123">
        <v>0.93453299999999995</v>
      </c>
      <c r="U14" s="34">
        <v>0.84845999999999999</v>
      </c>
      <c r="V14" s="160">
        <v>0</v>
      </c>
      <c r="W14" s="159">
        <v>0</v>
      </c>
      <c r="X14" s="160">
        <v>0</v>
      </c>
      <c r="Y14" s="160">
        <v>0</v>
      </c>
      <c r="Z14" s="34">
        <v>5.0321524964471939E-2</v>
      </c>
      <c r="AA14" s="34">
        <v>5.5505022836825638E-2</v>
      </c>
      <c r="AB14" s="103">
        <v>5.5929091376051891E-2</v>
      </c>
      <c r="AC14" s="100">
        <f t="shared" si="20"/>
        <v>0.90661209369119244</v>
      </c>
      <c r="AD14" s="95">
        <f>W14/26.98</f>
        <v>0</v>
      </c>
      <c r="AE14" s="60">
        <f>X14/55.845</f>
        <v>0</v>
      </c>
      <c r="AF14" s="60">
        <f>Y14/54.938</f>
        <v>0</v>
      </c>
      <c r="AG14" s="34"/>
      <c r="AH14" s="34"/>
      <c r="AI14" s="163"/>
      <c r="AJ14" s="143">
        <v>8.9091169830723622</v>
      </c>
      <c r="AK14" s="143">
        <v>0.36588690437388222</v>
      </c>
      <c r="AL14" s="143">
        <v>2.8898767239326824</v>
      </c>
      <c r="AM14" s="143">
        <v>8.1802591515781356E-2</v>
      </c>
      <c r="AN14" s="143"/>
      <c r="AO14" s="167">
        <v>50</v>
      </c>
      <c r="AP14" s="167">
        <v>30</v>
      </c>
      <c r="AQ14" s="167">
        <v>1</v>
      </c>
      <c r="AR14" s="56">
        <f>AO14-AP14</f>
        <v>20</v>
      </c>
      <c r="AS14" s="85">
        <f t="shared" si="21"/>
        <v>29</v>
      </c>
      <c r="AU14" s="50">
        <v>3.42</v>
      </c>
      <c r="AV14" s="51">
        <f t="shared" si="22"/>
        <v>3.8018939632056113E-4</v>
      </c>
      <c r="AW14" s="51">
        <v>3.1622776601683798E-2</v>
      </c>
      <c r="AX14" s="51">
        <f t="shared" si="23"/>
        <v>1.2022644346174128E-5</v>
      </c>
      <c r="AY14" s="51">
        <v>5.0118723362727197E-7</v>
      </c>
      <c r="AZ14" s="51">
        <f>+((AY14/(10^(-I14)))*AX14)*1000000</f>
        <v>19.054607179632495</v>
      </c>
      <c r="BA14" s="51">
        <v>5.6234132519034893E-11</v>
      </c>
      <c r="BB14" s="51">
        <f>+(((AY14*BA14)/(10^(-I14)))*AX14)*1000000</f>
        <v>1.0715193052376076E-9</v>
      </c>
      <c r="BC14" s="169"/>
      <c r="BD14" s="107">
        <f>+AZ14+2*BB14</f>
        <v>19.054607181775534</v>
      </c>
      <c r="BE14" s="57">
        <f>+(5.5*(P14))*(10^-(0.96+0.9*I14-0.039*((I14)^2)))/((10^-(0.96+0.9*I14-0.039*((I14)^2)))+(10^-I14))</f>
        <v>3.9480040487591719</v>
      </c>
      <c r="BF14" s="57">
        <f>+(5.5*(P14))*(10^-(0.96+0.9*4.5-0.039*((4.5)^2)))/((10^-(0.96+0.9*4.5-0.039*((4.5)^2)))+(10^-4.5))</f>
        <v>2.7076085959888991</v>
      </c>
      <c r="BG14" s="62">
        <v>0.89999999999997493</v>
      </c>
      <c r="BH14" s="36"/>
      <c r="BI14" s="23">
        <f>(10^-I14)*1000000</f>
        <v>0.31622776601683733</v>
      </c>
      <c r="BJ14" s="25">
        <f>(S14/40.078*1000)*2</f>
        <v>273.70327860671688</v>
      </c>
      <c r="BK14" s="25">
        <f>(T14/24.312*1000)*2</f>
        <v>76.878331688055269</v>
      </c>
      <c r="BL14" s="25">
        <f>(U14/22.99*1000)</f>
        <v>36.90561113527621</v>
      </c>
      <c r="BM14" s="24">
        <f>(V14/39.102*1000)</f>
        <v>0</v>
      </c>
      <c r="BN14" s="25">
        <f>(AJ14/96.064*1000)*2</f>
        <v>185.48294851499756</v>
      </c>
      <c r="BO14" s="24">
        <f>(AK14/62.0067*1000)</f>
        <v>5.9007640202410734</v>
      </c>
      <c r="BP14" s="25">
        <f>(AL14/35.453*1000)</f>
        <v>81.512896621800195</v>
      </c>
      <c r="BQ14" s="23">
        <f>(AM14/18.998)*1000</f>
        <v>4.3058528011254529</v>
      </c>
      <c r="BR14" s="23">
        <f>+AQ14/30.97*3</f>
        <v>9.6867936712948022E-2</v>
      </c>
      <c r="BS14" s="25">
        <f>IF(I14&lt;5.5,0,J14-31.62+BI14)-(BE14-BF14)</f>
        <v>241.89445370529103</v>
      </c>
      <c r="BT14" s="170">
        <f t="shared" si="24"/>
        <v>3.9480040487591719</v>
      </c>
      <c r="BU14" s="26"/>
      <c r="BV14" s="25">
        <f t="shared" si="0"/>
        <v>-131.39033440410304</v>
      </c>
      <c r="BW14" s="27">
        <f t="shared" si="1"/>
        <v>-14.486299368194574</v>
      </c>
      <c r="BX14" s="110">
        <f t="shared" si="2"/>
        <v>3.3250295557711471E-4</v>
      </c>
      <c r="BY14" s="23">
        <f t="shared" si="25"/>
        <v>0.97881433610931923</v>
      </c>
      <c r="BZ14" s="23">
        <f t="shared" si="26"/>
        <v>0.91791250476907116</v>
      </c>
      <c r="CA14" s="46">
        <f t="shared" si="27"/>
        <v>0.89290386151572587</v>
      </c>
      <c r="CB14" s="110">
        <f t="shared" si="6"/>
        <v>3.0952827085310379E-10</v>
      </c>
      <c r="CC14" s="110">
        <f t="shared" si="7"/>
        <v>1.2561783101469923E-7</v>
      </c>
      <c r="CD14" s="110">
        <f t="shared" si="8"/>
        <v>3.5283791001125134E-8</v>
      </c>
      <c r="CE14" s="110">
        <f t="shared" si="9"/>
        <v>3.6123741262084084E-8</v>
      </c>
      <c r="CF14" s="110">
        <f t="shared" si="10"/>
        <v>0</v>
      </c>
      <c r="CG14" s="110">
        <f t="shared" si="11"/>
        <v>8.5128558931677035E-8</v>
      </c>
      <c r="CH14" s="110">
        <f t="shared" si="12"/>
        <v>7.9785991791214936E-8</v>
      </c>
      <c r="CI14" s="110">
        <f t="shared" si="13"/>
        <v>5.7757524170100242E-9</v>
      </c>
      <c r="CJ14" s="47">
        <f>(BY14*AZ14*10^-9)</f>
        <v>1.8650922676355849E-8</v>
      </c>
      <c r="CK14" s="110">
        <f t="shared" si="14"/>
        <v>1.0821108349024509E-7</v>
      </c>
      <c r="CL14" s="110">
        <f t="shared" si="28"/>
        <v>1.4948521890749209E-5</v>
      </c>
      <c r="CM14" s="110">
        <f t="shared" si="29"/>
        <v>3.7400818461192643E-6</v>
      </c>
      <c r="CN14" s="110">
        <f t="shared" si="30"/>
        <v>1.8097994372304126E-6</v>
      </c>
      <c r="CO14" s="110">
        <f t="shared" si="31"/>
        <v>0</v>
      </c>
      <c r="CP14" s="110">
        <f t="shared" si="32"/>
        <v>1.3620569429068326E-5</v>
      </c>
      <c r="CQ14" s="110">
        <f t="shared" si="33"/>
        <v>6.0876711736696995E-6</v>
      </c>
      <c r="CR14" s="110">
        <f t="shared" si="34"/>
        <v>4.1238872257451574E-7</v>
      </c>
      <c r="CS14" s="47">
        <f t="shared" si="35"/>
        <v>8.2996605909783528E-7</v>
      </c>
      <c r="CT14" s="24">
        <f t="shared" si="15"/>
        <v>4.0727243582901673</v>
      </c>
      <c r="CU14" s="24">
        <f>K14/10</f>
        <v>4.4000000000000004</v>
      </c>
      <c r="CV14" s="24">
        <f t="shared" si="36"/>
        <v>0.32727564170983303</v>
      </c>
      <c r="CW14" s="27">
        <f t="shared" si="37"/>
        <v>7.4380827661325677</v>
      </c>
    </row>
    <row r="15" spans="1:102" x14ac:dyDescent="0.25">
      <c r="A15" s="148"/>
      <c r="B15" s="153"/>
      <c r="C15" s="119"/>
      <c r="D15" s="119"/>
      <c r="E15" s="154"/>
      <c r="F15" s="45"/>
      <c r="P15" s="130"/>
      <c r="S15" s="130"/>
      <c r="T15" s="130"/>
      <c r="U15" s="130"/>
      <c r="V15" s="130"/>
      <c r="W15" s="130"/>
      <c r="Y15" s="130"/>
      <c r="Z15" s="130"/>
      <c r="AA15" s="130"/>
      <c r="AB15" s="130"/>
      <c r="AC15" s="130"/>
      <c r="AD15" s="130"/>
      <c r="AI15" s="166"/>
      <c r="AJ15" s="130"/>
      <c r="AK15" s="130"/>
      <c r="AL15" s="130"/>
      <c r="AM15" s="130"/>
      <c r="AN15" s="130"/>
      <c r="AP15" s="32"/>
      <c r="AR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</row>
    <row r="16" spans="1:102" x14ac:dyDescent="0.25">
      <c r="A16" s="148"/>
      <c r="B16" s="153"/>
      <c r="C16" s="119"/>
      <c r="D16" s="119"/>
      <c r="E16" s="154"/>
      <c r="F16" s="45"/>
      <c r="P16" s="130"/>
      <c r="S16" s="130"/>
      <c r="T16" s="130"/>
      <c r="U16" s="130"/>
      <c r="V16" s="130"/>
      <c r="W16" s="130"/>
      <c r="Y16" s="130"/>
      <c r="Z16" s="130"/>
      <c r="AA16" s="130"/>
      <c r="AB16" s="130"/>
      <c r="AC16" s="130"/>
      <c r="AD16" s="130"/>
      <c r="AI16" s="166"/>
      <c r="AJ16" s="130"/>
      <c r="AK16" s="130"/>
      <c r="AL16" s="130"/>
      <c r="AM16" s="130"/>
      <c r="AN16" s="130"/>
      <c r="AP16" s="32"/>
      <c r="AR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spans="1:100" x14ac:dyDescent="0.25">
      <c r="A17" s="148"/>
      <c r="B17" s="153"/>
      <c r="C17" s="119"/>
      <c r="D17" s="119"/>
      <c r="E17" s="154"/>
      <c r="F17" s="5"/>
      <c r="G17" s="67"/>
      <c r="H17" s="70"/>
      <c r="I17" s="74"/>
      <c r="J17" s="78"/>
      <c r="P17" s="130"/>
      <c r="S17" s="130"/>
      <c r="T17" s="130"/>
      <c r="U17" s="130"/>
      <c r="V17" s="130"/>
      <c r="W17" s="130"/>
      <c r="Y17" s="130"/>
      <c r="Z17" s="130"/>
      <c r="AA17" s="130"/>
      <c r="AB17" s="130"/>
      <c r="AC17" s="130"/>
      <c r="AD17" s="130"/>
      <c r="AI17" s="166"/>
      <c r="AJ17" s="130"/>
      <c r="AK17" s="130"/>
      <c r="AL17" s="130"/>
      <c r="AM17" s="130"/>
      <c r="AN17" s="130"/>
      <c r="AP17" s="32"/>
      <c r="AR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</row>
    <row r="18" spans="1:100" x14ac:dyDescent="0.25">
      <c r="A18" s="148"/>
      <c r="B18" s="153"/>
      <c r="C18" s="119"/>
      <c r="D18" s="119"/>
      <c r="E18" s="154"/>
      <c r="F18" s="5"/>
      <c r="G18" s="67"/>
      <c r="H18" s="70"/>
      <c r="I18" s="74"/>
      <c r="J18" s="78"/>
      <c r="P18" s="130"/>
      <c r="S18" s="130"/>
      <c r="T18" s="130"/>
      <c r="U18" s="130"/>
      <c r="V18" s="130"/>
      <c r="W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66"/>
      <c r="AJ18" s="130"/>
      <c r="AK18" s="130"/>
      <c r="AL18" s="130"/>
      <c r="AM18" s="130"/>
      <c r="AN18" s="130"/>
      <c r="AP18" s="130"/>
      <c r="AR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:100" x14ac:dyDescent="0.25">
      <c r="A19" s="148"/>
      <c r="B19" s="153"/>
      <c r="C19" s="119"/>
      <c r="D19" s="119"/>
      <c r="E19" s="154"/>
      <c r="F19" s="5"/>
      <c r="G19" s="67"/>
      <c r="H19" s="70"/>
      <c r="I19" s="74"/>
      <c r="J19" s="78"/>
      <c r="P19" s="130"/>
      <c r="S19" s="130"/>
      <c r="T19" s="130"/>
      <c r="U19" s="130"/>
      <c r="V19" s="130"/>
      <c r="W19" s="130"/>
      <c r="Y19" s="130"/>
      <c r="Z19" s="130"/>
      <c r="AA19" s="130"/>
      <c r="AB19" s="130"/>
      <c r="AC19" s="130"/>
      <c r="AD19" s="130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R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H19" s="119" t="s">
        <v>125</v>
      </c>
      <c r="BI19" s="112">
        <f>BI4</f>
        <v>0.25118864315095779</v>
      </c>
      <c r="BJ19" s="4">
        <f t="shared" ref="BJ19:BM19" si="38">BJ4</f>
        <v>143.6952941763561</v>
      </c>
      <c r="BK19" s="1">
        <f t="shared" si="38"/>
        <v>53.827739387956562</v>
      </c>
      <c r="BL19" s="1">
        <f t="shared" si="38"/>
        <v>45.622009569377994</v>
      </c>
      <c r="BM19" s="112">
        <f t="shared" si="38"/>
        <v>0</v>
      </c>
    </row>
    <row r="20" spans="1:100" s="79" customFormat="1" x14ac:dyDescent="0.25">
      <c r="A20" s="148"/>
      <c r="B20" s="153"/>
      <c r="C20" s="119"/>
      <c r="D20" s="119"/>
      <c r="E20" s="154"/>
      <c r="F20" s="5"/>
      <c r="G20" s="67"/>
      <c r="H20" s="70"/>
      <c r="I20" s="74"/>
      <c r="J20" s="78"/>
      <c r="M20" s="62"/>
      <c r="N20" s="62"/>
      <c r="O20" s="62"/>
      <c r="P20" s="130"/>
      <c r="Q20" s="130"/>
      <c r="R20" s="130"/>
      <c r="S20" s="130"/>
      <c r="T20" s="130"/>
      <c r="U20" s="130"/>
      <c r="V20" s="130"/>
      <c r="W20" s="130"/>
      <c r="X20" s="2"/>
      <c r="Y20" s="130"/>
      <c r="Z20" s="130"/>
      <c r="AA20" s="130"/>
      <c r="AB20" s="130"/>
      <c r="AC20" s="130"/>
      <c r="AD20" s="119"/>
      <c r="AE20" s="60"/>
      <c r="AF20" s="60"/>
      <c r="AG20" s="130"/>
      <c r="AH20" s="104"/>
      <c r="AI20" s="166"/>
      <c r="AJ20" s="130"/>
      <c r="AK20" s="130"/>
      <c r="AL20" s="130"/>
      <c r="AM20" s="130"/>
      <c r="AN20" s="130"/>
      <c r="AO20" s="130"/>
      <c r="AP20" s="130"/>
      <c r="AQ20" s="32"/>
      <c r="AR20" s="5"/>
      <c r="AS20" s="32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G20" s="1"/>
      <c r="BI20" s="112"/>
      <c r="BJ20" s="4"/>
      <c r="BK20" s="1"/>
      <c r="BL20" s="112"/>
      <c r="BM20" s="112"/>
      <c r="BN20" s="1">
        <f>BN4</f>
        <v>49.480821892211871</v>
      </c>
      <c r="BO20" s="1">
        <f t="shared" ref="BO20:BS20" si="39">BO4</f>
        <v>5.0734023127262207</v>
      </c>
      <c r="BP20" s="1">
        <f t="shared" si="39"/>
        <v>89.938726490472519</v>
      </c>
      <c r="BQ20" s="1">
        <f t="shared" si="39"/>
        <v>4.0823011140951619</v>
      </c>
      <c r="BR20" s="1">
        <f t="shared" si="39"/>
        <v>0.48433968356474005</v>
      </c>
      <c r="BS20" s="4">
        <f t="shared" si="39"/>
        <v>281.96105631181916</v>
      </c>
      <c r="BT20" s="1">
        <f t="shared" ref="BT20" si="40">BT4</f>
        <v>54.052380658592611</v>
      </c>
      <c r="BU20" s="1"/>
      <c r="BV20" s="3"/>
      <c r="BW20" s="3"/>
      <c r="BX20" s="111"/>
      <c r="BY20" s="2"/>
      <c r="BZ20" s="2"/>
      <c r="CA20" s="3"/>
      <c r="CB20" s="111"/>
      <c r="CC20" s="111"/>
      <c r="CD20" s="111"/>
      <c r="CE20" s="111"/>
      <c r="CF20" s="111"/>
      <c r="CG20" s="111"/>
      <c r="CH20" s="111"/>
      <c r="CI20" s="111"/>
      <c r="CJ20" s="3"/>
      <c r="CK20" s="111"/>
      <c r="CL20" s="111"/>
      <c r="CM20" s="111"/>
      <c r="CN20" s="111"/>
      <c r="CO20" s="111"/>
      <c r="CP20" s="111"/>
      <c r="CQ20" s="111"/>
      <c r="CR20" s="111"/>
      <c r="CS20" s="3"/>
      <c r="CT20" s="115"/>
      <c r="CU20" s="116"/>
      <c r="CV20" s="116"/>
    </row>
    <row r="21" spans="1:100" s="79" customFormat="1" x14ac:dyDescent="0.25">
      <c r="A21" s="148"/>
      <c r="B21" s="153"/>
      <c r="C21" s="119"/>
      <c r="D21" s="119"/>
      <c r="E21" s="154"/>
      <c r="F21" s="5"/>
      <c r="G21" s="67"/>
      <c r="H21" s="70"/>
      <c r="I21" s="74"/>
      <c r="J21" s="78"/>
      <c r="M21" s="62"/>
      <c r="N21" s="62"/>
      <c r="O21" s="62"/>
      <c r="P21" s="130"/>
      <c r="Q21" s="130"/>
      <c r="R21" s="130"/>
      <c r="S21" s="130"/>
      <c r="T21" s="130"/>
      <c r="U21" s="130"/>
      <c r="V21" s="130"/>
      <c r="W21" s="130"/>
      <c r="X21" s="2"/>
      <c r="Y21" s="130"/>
      <c r="Z21" s="130"/>
      <c r="AA21" s="130"/>
      <c r="AB21" s="130"/>
      <c r="AC21" s="130"/>
      <c r="AD21" s="119"/>
      <c r="AE21" s="130"/>
      <c r="AF21" s="130"/>
      <c r="AG21" s="130"/>
      <c r="AH21" s="104"/>
      <c r="AI21" s="166"/>
      <c r="AJ21" s="130"/>
      <c r="AK21" s="130"/>
      <c r="AL21" s="130"/>
      <c r="AM21" s="130"/>
      <c r="AN21" s="130"/>
      <c r="AO21" s="130"/>
      <c r="AP21" s="130"/>
      <c r="AQ21" s="32"/>
      <c r="AR21" s="5"/>
      <c r="AS21" s="32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G21" s="1"/>
      <c r="BI21" s="112"/>
      <c r="BJ21" s="4"/>
      <c r="BK21" s="1"/>
      <c r="BL21" s="112"/>
      <c r="BM21" s="112"/>
      <c r="BN21" s="1"/>
      <c r="BO21" s="1"/>
      <c r="BP21" s="1"/>
      <c r="BQ21" s="1"/>
      <c r="BR21" s="1"/>
      <c r="BS21" s="4"/>
      <c r="BT21" s="1"/>
      <c r="BU21" s="1"/>
      <c r="BV21" s="3"/>
      <c r="BW21" s="3"/>
      <c r="BX21" s="111"/>
      <c r="BY21" s="2"/>
      <c r="BZ21" s="2"/>
      <c r="CA21" s="3"/>
      <c r="CB21" s="111"/>
      <c r="CC21" s="111"/>
      <c r="CD21" s="111"/>
      <c r="CE21" s="111"/>
      <c r="CF21" s="111"/>
      <c r="CG21" s="111"/>
      <c r="CH21" s="111"/>
      <c r="CI21" s="111"/>
      <c r="CJ21" s="3"/>
      <c r="CK21" s="111"/>
      <c r="CL21" s="111"/>
      <c r="CM21" s="111"/>
      <c r="CN21" s="111"/>
      <c r="CO21" s="111"/>
      <c r="CP21" s="111"/>
      <c r="CQ21" s="111"/>
      <c r="CR21" s="111"/>
      <c r="CS21" s="3"/>
      <c r="CT21" s="115"/>
      <c r="CU21" s="116"/>
      <c r="CV21" s="116"/>
    </row>
    <row r="22" spans="1:100" x14ac:dyDescent="0.25">
      <c r="A22" s="148"/>
      <c r="B22" s="153"/>
      <c r="C22" s="119"/>
      <c r="D22" s="119"/>
      <c r="E22" s="154"/>
      <c r="F22" s="5"/>
      <c r="G22" s="67"/>
      <c r="H22" s="70"/>
      <c r="I22" s="74"/>
      <c r="J22" s="78"/>
      <c r="P22" s="130"/>
      <c r="S22" s="130"/>
      <c r="T22" s="130"/>
      <c r="U22" s="130"/>
      <c r="V22" s="130"/>
      <c r="W22" s="130"/>
      <c r="Y22" s="130"/>
      <c r="Z22" s="130"/>
      <c r="AA22" s="130"/>
      <c r="AB22" s="130"/>
      <c r="AC22" s="130"/>
      <c r="AD22" s="119"/>
      <c r="AE22" s="130"/>
      <c r="AF22" s="130"/>
      <c r="AG22" s="130"/>
      <c r="AH22" s="104"/>
      <c r="AI22" s="166"/>
      <c r="AJ22" s="130"/>
      <c r="AK22" s="130"/>
      <c r="AL22" s="130"/>
      <c r="AM22" s="130"/>
      <c r="AN22" s="130"/>
      <c r="AP22" s="130"/>
      <c r="AR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H22" s="119" t="s">
        <v>127</v>
      </c>
      <c r="BI22" s="112">
        <f>BI5</f>
        <v>0.41686938347033492</v>
      </c>
      <c r="BJ22" s="4">
        <f t="shared" ref="BJ22:BM22" si="41">BJ5</f>
        <v>251.67722940266481</v>
      </c>
      <c r="BK22" s="1">
        <f t="shared" si="41"/>
        <v>82.999341888779199</v>
      </c>
      <c r="BL22" s="1">
        <f t="shared" si="41"/>
        <v>67.407133536320146</v>
      </c>
      <c r="BM22" s="112">
        <f t="shared" si="41"/>
        <v>0</v>
      </c>
      <c r="BP22" s="1"/>
      <c r="BQ22" s="1"/>
      <c r="BR22" s="1"/>
      <c r="BS22" s="4"/>
      <c r="BT22" s="1"/>
      <c r="BU22" s="1"/>
    </row>
    <row r="23" spans="1:100" s="79" customFormat="1" x14ac:dyDescent="0.25">
      <c r="A23" s="148"/>
      <c r="B23" s="153"/>
      <c r="C23" s="119"/>
      <c r="D23" s="119"/>
      <c r="E23" s="154"/>
      <c r="F23" s="5"/>
      <c r="G23" s="67"/>
      <c r="H23" s="70"/>
      <c r="I23" s="74"/>
      <c r="J23" s="78"/>
      <c r="M23" s="62"/>
      <c r="N23" s="62"/>
      <c r="O23" s="62"/>
      <c r="P23" s="130"/>
      <c r="Q23" s="130"/>
      <c r="R23" s="130"/>
      <c r="S23" s="130"/>
      <c r="T23" s="130"/>
      <c r="U23" s="130"/>
      <c r="V23" s="130"/>
      <c r="W23" s="130"/>
      <c r="X23" s="2"/>
      <c r="Y23" s="130"/>
      <c r="Z23" s="130"/>
      <c r="AA23" s="130"/>
      <c r="AB23" s="130"/>
      <c r="AC23" s="130"/>
      <c r="AD23" s="120"/>
      <c r="AE23" s="130"/>
      <c r="AF23" s="130"/>
      <c r="AG23" s="130"/>
      <c r="AH23" s="104"/>
      <c r="AI23" s="166"/>
      <c r="AJ23" s="130"/>
      <c r="AK23" s="130"/>
      <c r="AL23" s="130"/>
      <c r="AM23" s="130"/>
      <c r="AN23" s="130"/>
      <c r="AO23" s="130"/>
      <c r="AP23" s="130"/>
      <c r="AQ23" s="32"/>
      <c r="AR23" s="5"/>
      <c r="AS23" s="32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G23" s="1"/>
      <c r="BI23" s="112"/>
      <c r="BJ23" s="4"/>
      <c r="BK23" s="1"/>
      <c r="BL23" s="112"/>
      <c r="BM23" s="112"/>
      <c r="BN23" s="4">
        <f>BN5</f>
        <v>100.10462210786241</v>
      </c>
      <c r="BO23" s="1">
        <f t="shared" ref="BO23:BS23" si="42">BO5</f>
        <v>6.7958665448952162</v>
      </c>
      <c r="BP23" s="1">
        <f t="shared" si="42"/>
        <v>95.127004575057242</v>
      </c>
      <c r="BQ23" s="1">
        <f t="shared" si="42"/>
        <v>5.3480554396150985</v>
      </c>
      <c r="BR23" s="1">
        <f t="shared" si="42"/>
        <v>0.48433968356474005</v>
      </c>
      <c r="BS23" s="4">
        <f t="shared" si="42"/>
        <v>221.61650706456305</v>
      </c>
      <c r="BT23" s="1">
        <f t="shared" ref="BT23" si="43">BT5</f>
        <v>38.40159615439196</v>
      </c>
      <c r="BU23" s="1"/>
      <c r="BV23" s="3"/>
      <c r="BW23" s="3"/>
      <c r="BX23" s="111"/>
      <c r="BY23" s="2"/>
      <c r="BZ23" s="2"/>
      <c r="CA23" s="3"/>
      <c r="CB23" s="111"/>
      <c r="CC23" s="111"/>
      <c r="CD23" s="111"/>
      <c r="CE23" s="111"/>
      <c r="CF23" s="111"/>
      <c r="CG23" s="111"/>
      <c r="CH23" s="111"/>
      <c r="CI23" s="111"/>
      <c r="CJ23" s="3"/>
      <c r="CK23" s="111"/>
      <c r="CL23" s="111"/>
      <c r="CM23" s="111"/>
      <c r="CN23" s="111"/>
      <c r="CO23" s="111"/>
      <c r="CP23" s="111"/>
      <c r="CQ23" s="111"/>
      <c r="CR23" s="111"/>
      <c r="CS23" s="3"/>
      <c r="CT23" s="115"/>
      <c r="CU23" s="116"/>
      <c r="CV23" s="116"/>
    </row>
    <row r="24" spans="1:100" s="79" customFormat="1" x14ac:dyDescent="0.25">
      <c r="A24" s="148"/>
      <c r="B24" s="153"/>
      <c r="C24" s="119"/>
      <c r="D24" s="119"/>
      <c r="E24" s="154"/>
      <c r="F24" s="5"/>
      <c r="G24" s="67"/>
      <c r="H24" s="70"/>
      <c r="I24" s="74"/>
      <c r="J24" s="78"/>
      <c r="M24" s="62"/>
      <c r="N24" s="62"/>
      <c r="O24" s="62"/>
      <c r="P24" s="130"/>
      <c r="Q24" s="130"/>
      <c r="R24" s="130"/>
      <c r="S24" s="130"/>
      <c r="T24" s="130"/>
      <c r="U24" s="130"/>
      <c r="V24" s="130"/>
      <c r="W24" s="130"/>
      <c r="X24" s="2"/>
      <c r="Y24" s="130"/>
      <c r="Z24" s="130"/>
      <c r="AA24" s="130"/>
      <c r="AB24" s="130"/>
      <c r="AC24" s="130"/>
      <c r="AD24" s="119"/>
      <c r="AE24" s="130"/>
      <c r="AF24" s="130"/>
      <c r="AG24" s="130"/>
      <c r="AH24" s="104"/>
      <c r="AI24" s="166"/>
      <c r="AJ24" s="130"/>
      <c r="AK24" s="130"/>
      <c r="AL24" s="130"/>
      <c r="AM24" s="130"/>
      <c r="AN24" s="130"/>
      <c r="AO24" s="130"/>
      <c r="AP24" s="130"/>
      <c r="AQ24" s="32"/>
      <c r="AR24" s="5"/>
      <c r="AS24" s="32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G24" s="1"/>
      <c r="BI24" s="112"/>
      <c r="BJ24" s="4"/>
      <c r="BK24" s="1"/>
      <c r="BL24" s="112"/>
      <c r="BM24" s="112"/>
      <c r="BN24" s="1"/>
      <c r="BO24" s="1"/>
      <c r="BP24" s="1"/>
      <c r="BQ24" s="1"/>
      <c r="BR24" s="1"/>
      <c r="BS24" s="4"/>
      <c r="BT24" s="1"/>
      <c r="BU24" s="1"/>
      <c r="BV24" s="3"/>
      <c r="BW24" s="3"/>
      <c r="BX24" s="111"/>
      <c r="BY24" s="2"/>
      <c r="BZ24" s="2"/>
      <c r="CA24" s="3"/>
      <c r="CB24" s="111"/>
      <c r="CC24" s="111"/>
      <c r="CD24" s="111"/>
      <c r="CE24" s="111"/>
      <c r="CF24" s="111"/>
      <c r="CG24" s="111"/>
      <c r="CH24" s="111"/>
      <c r="CI24" s="111"/>
      <c r="CJ24" s="3"/>
      <c r="CK24" s="111"/>
      <c r="CL24" s="111"/>
      <c r="CM24" s="111"/>
      <c r="CN24" s="111"/>
      <c r="CO24" s="111"/>
      <c r="CP24" s="111"/>
      <c r="CQ24" s="111"/>
      <c r="CR24" s="111"/>
      <c r="CS24" s="3"/>
      <c r="CT24" s="115"/>
      <c r="CU24" s="116"/>
      <c r="CV24" s="116"/>
    </row>
    <row r="25" spans="1:100" x14ac:dyDescent="0.25">
      <c r="A25" s="148"/>
      <c r="B25" s="153"/>
      <c r="C25" s="119"/>
      <c r="D25" s="119"/>
      <c r="E25" s="154"/>
      <c r="F25" s="5"/>
      <c r="G25" s="67"/>
      <c r="H25" s="70"/>
      <c r="I25" s="74"/>
      <c r="J25" s="78"/>
      <c r="P25" s="130"/>
      <c r="S25" s="130"/>
      <c r="T25" s="130"/>
      <c r="U25" s="130"/>
      <c r="V25" s="130"/>
      <c r="W25" s="130"/>
      <c r="Y25" s="130"/>
      <c r="Z25" s="130"/>
      <c r="AA25" s="130"/>
      <c r="AB25" s="130"/>
      <c r="AC25" s="130"/>
      <c r="AD25" s="119"/>
      <c r="AE25" s="130"/>
      <c r="AF25" s="130"/>
      <c r="AG25" s="130"/>
      <c r="AH25" s="104"/>
      <c r="AI25" s="166"/>
      <c r="AJ25" s="130"/>
      <c r="AK25" s="130"/>
      <c r="AL25" s="130"/>
      <c r="AM25" s="130"/>
      <c r="AN25" s="130"/>
      <c r="AP25" s="130"/>
      <c r="AR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H25" s="119" t="s">
        <v>107</v>
      </c>
      <c r="BI25" s="112">
        <f>BI6</f>
        <v>0.40738027780411229</v>
      </c>
      <c r="BJ25" s="4">
        <f t="shared" ref="BJ25:BM25" si="44">BJ6</f>
        <v>245.22930285942414</v>
      </c>
      <c r="BK25" s="1">
        <f t="shared" si="44"/>
        <v>74.392810134912793</v>
      </c>
      <c r="BL25" s="4">
        <f t="shared" si="44"/>
        <v>327.62374945628534</v>
      </c>
      <c r="BM25" s="112">
        <f t="shared" si="44"/>
        <v>0</v>
      </c>
      <c r="BP25" s="1"/>
      <c r="BQ25" s="1"/>
      <c r="BR25" s="1"/>
      <c r="BS25" s="4"/>
      <c r="BT25" s="1"/>
      <c r="BU25" s="1"/>
    </row>
    <row r="26" spans="1:100" s="79" customFormat="1" x14ac:dyDescent="0.25">
      <c r="A26" s="148"/>
      <c r="B26" s="153"/>
      <c r="C26" s="119"/>
      <c r="D26" s="119"/>
      <c r="E26" s="154"/>
      <c r="F26" s="5"/>
      <c r="G26" s="67"/>
      <c r="H26" s="70"/>
      <c r="I26" s="74"/>
      <c r="J26" s="78"/>
      <c r="M26" s="62"/>
      <c r="N26" s="62"/>
      <c r="O26" s="62"/>
      <c r="P26" s="130"/>
      <c r="Q26" s="130"/>
      <c r="R26" s="130"/>
      <c r="S26" s="130"/>
      <c r="T26" s="130"/>
      <c r="U26" s="130"/>
      <c r="V26" s="130"/>
      <c r="W26" s="130"/>
      <c r="X26" s="2"/>
      <c r="Y26" s="130"/>
      <c r="Z26" s="130"/>
      <c r="AA26" s="130"/>
      <c r="AB26" s="130"/>
      <c r="AC26" s="130"/>
      <c r="AD26" s="119"/>
      <c r="AE26" s="130"/>
      <c r="AF26" s="130"/>
      <c r="AG26" s="130"/>
      <c r="AH26" s="104"/>
      <c r="AI26" s="166"/>
      <c r="AJ26" s="130"/>
      <c r="AK26" s="130"/>
      <c r="AL26" s="130"/>
      <c r="AM26" s="130"/>
      <c r="AN26" s="130"/>
      <c r="AO26" s="130"/>
      <c r="AP26" s="130"/>
      <c r="AQ26" s="32"/>
      <c r="AR26" s="5"/>
      <c r="AS26" s="32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G26" s="1"/>
      <c r="BI26" s="112"/>
      <c r="BJ26" s="4"/>
      <c r="BK26" s="112"/>
      <c r="BL26" s="112"/>
      <c r="BM26" s="112"/>
      <c r="BN26" s="1">
        <f>BN6</f>
        <v>55.60187943892879</v>
      </c>
      <c r="BO26" s="1">
        <f t="shared" ref="BO26:BS26" si="45">BO6</f>
        <v>5.3178850800380157</v>
      </c>
      <c r="BP26" s="4">
        <f t="shared" si="45"/>
        <v>374.0111189074662</v>
      </c>
      <c r="BQ26" s="1">
        <f t="shared" si="45"/>
        <v>4.4519013771469833</v>
      </c>
      <c r="BR26" s="1">
        <f t="shared" si="45"/>
        <v>0.38747174685179209</v>
      </c>
      <c r="BS26" s="4">
        <f t="shared" si="45"/>
        <v>954.26209784308276</v>
      </c>
      <c r="BT26" s="1">
        <f t="shared" ref="BT26" si="46">BT6</f>
        <v>25.794857515168601</v>
      </c>
      <c r="BU26" s="1"/>
      <c r="BV26" s="3"/>
      <c r="BW26" s="3"/>
      <c r="BX26" s="111"/>
      <c r="BY26" s="2"/>
      <c r="BZ26" s="2"/>
      <c r="CA26" s="3"/>
      <c r="CB26" s="111"/>
      <c r="CC26" s="111"/>
      <c r="CD26" s="111"/>
      <c r="CE26" s="111"/>
      <c r="CF26" s="111"/>
      <c r="CG26" s="111"/>
      <c r="CH26" s="111"/>
      <c r="CI26" s="111"/>
      <c r="CJ26" s="3"/>
      <c r="CK26" s="111"/>
      <c r="CL26" s="111"/>
      <c r="CM26" s="111"/>
      <c r="CN26" s="111"/>
      <c r="CO26" s="111"/>
      <c r="CP26" s="111"/>
      <c r="CQ26" s="111"/>
      <c r="CR26" s="111"/>
      <c r="CS26" s="3"/>
      <c r="CT26" s="115"/>
      <c r="CU26" s="116"/>
      <c r="CV26" s="116"/>
    </row>
    <row r="27" spans="1:100" s="79" customFormat="1" x14ac:dyDescent="0.25">
      <c r="A27" s="148"/>
      <c r="B27" s="153"/>
      <c r="C27" s="119"/>
      <c r="D27" s="119"/>
      <c r="E27" s="154"/>
      <c r="F27" s="5"/>
      <c r="G27" s="67"/>
      <c r="H27" s="70"/>
      <c r="I27" s="74"/>
      <c r="J27" s="78"/>
      <c r="M27" s="62"/>
      <c r="N27" s="62"/>
      <c r="O27" s="62"/>
      <c r="P27" s="130"/>
      <c r="Q27" s="130"/>
      <c r="R27" s="130"/>
      <c r="S27" s="130"/>
      <c r="T27" s="130"/>
      <c r="U27" s="130"/>
      <c r="V27" s="130"/>
      <c r="W27" s="130"/>
      <c r="X27" s="2"/>
      <c r="Y27" s="130"/>
      <c r="Z27" s="130"/>
      <c r="AA27" s="130"/>
      <c r="AB27" s="130"/>
      <c r="AC27" s="130"/>
      <c r="AD27" s="119"/>
      <c r="AE27" s="130"/>
      <c r="AF27" s="130"/>
      <c r="AG27" s="130"/>
      <c r="AH27" s="104"/>
      <c r="AI27" s="166"/>
      <c r="AJ27" s="130"/>
      <c r="AK27" s="130"/>
      <c r="AL27" s="130"/>
      <c r="AM27" s="130"/>
      <c r="AN27" s="130"/>
      <c r="AO27" s="130"/>
      <c r="AP27" s="130"/>
      <c r="AQ27" s="32"/>
      <c r="AR27" s="5"/>
      <c r="AS27" s="32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G27" s="1"/>
      <c r="BI27" s="112"/>
      <c r="BJ27" s="4"/>
      <c r="BK27" s="112"/>
      <c r="BL27" s="112"/>
      <c r="BM27" s="112"/>
      <c r="BN27" s="1"/>
      <c r="BO27" s="1"/>
      <c r="BP27" s="4"/>
      <c r="BQ27" s="1"/>
      <c r="BR27" s="1"/>
      <c r="BS27" s="4"/>
      <c r="BT27" s="1"/>
      <c r="BU27" s="1"/>
      <c r="BV27" s="3"/>
      <c r="BW27" s="3"/>
      <c r="BX27" s="111"/>
      <c r="BY27" s="2"/>
      <c r="BZ27" s="2"/>
      <c r="CA27" s="3"/>
      <c r="CB27" s="111"/>
      <c r="CC27" s="111"/>
      <c r="CD27" s="111"/>
      <c r="CE27" s="111"/>
      <c r="CF27" s="111"/>
      <c r="CG27" s="111"/>
      <c r="CH27" s="111"/>
      <c r="CI27" s="111"/>
      <c r="CJ27" s="3"/>
      <c r="CK27" s="111"/>
      <c r="CL27" s="111"/>
      <c r="CM27" s="111"/>
      <c r="CN27" s="111"/>
      <c r="CO27" s="111"/>
      <c r="CP27" s="111"/>
      <c r="CQ27" s="111"/>
      <c r="CR27" s="111"/>
      <c r="CS27" s="3"/>
      <c r="CT27" s="115"/>
      <c r="CU27" s="116"/>
      <c r="CV27" s="116"/>
    </row>
    <row r="28" spans="1:100" x14ac:dyDescent="0.25">
      <c r="A28" s="148"/>
      <c r="B28" s="153"/>
      <c r="C28" s="119"/>
      <c r="D28" s="119"/>
      <c r="E28" s="154"/>
      <c r="F28" s="5"/>
      <c r="G28" s="67"/>
      <c r="H28" s="70"/>
      <c r="I28" s="74"/>
      <c r="J28" s="78"/>
      <c r="P28" s="130"/>
      <c r="S28" s="130"/>
      <c r="T28" s="130"/>
      <c r="U28" s="130"/>
      <c r="V28" s="130"/>
      <c r="W28" s="130"/>
      <c r="Y28" s="130"/>
      <c r="Z28" s="130"/>
      <c r="AA28" s="130"/>
      <c r="AB28" s="130"/>
      <c r="AC28" s="137"/>
      <c r="AD28" s="119"/>
      <c r="AE28" s="130"/>
      <c r="AF28" s="130"/>
      <c r="AG28" s="130"/>
      <c r="AH28" s="104"/>
      <c r="AI28" s="166"/>
      <c r="AJ28" s="130"/>
      <c r="AK28" s="130"/>
      <c r="AL28" s="130"/>
      <c r="AM28" s="130"/>
      <c r="AN28" s="130"/>
      <c r="AP28" s="130"/>
      <c r="AR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H28" s="120" t="s">
        <v>108</v>
      </c>
      <c r="BI28" s="112">
        <f>BI7</f>
        <v>7.7624711662868925E-2</v>
      </c>
      <c r="BJ28" s="4">
        <f t="shared" ref="BJ28:BM28" si="47">BJ7</f>
        <v>1421.3184290633264</v>
      </c>
      <c r="BK28" s="4">
        <f t="shared" si="47"/>
        <v>433.53158933859822</v>
      </c>
      <c r="BL28" s="4">
        <f t="shared" si="47"/>
        <v>695.06742061765988</v>
      </c>
      <c r="BM28" s="1">
        <f t="shared" si="47"/>
        <v>66.466165413533844</v>
      </c>
      <c r="BQ28" s="1"/>
      <c r="BR28" s="1"/>
      <c r="BS28" s="4"/>
      <c r="BT28" s="1"/>
      <c r="BU28" s="1"/>
    </row>
    <row r="29" spans="1:100" s="79" customFormat="1" x14ac:dyDescent="0.25">
      <c r="A29" s="148"/>
      <c r="B29" s="153"/>
      <c r="C29" s="119"/>
      <c r="D29" s="119"/>
      <c r="E29" s="154"/>
      <c r="F29" s="5"/>
      <c r="G29" s="67"/>
      <c r="H29" s="70"/>
      <c r="I29" s="74"/>
      <c r="J29" s="78"/>
      <c r="M29" s="62"/>
      <c r="N29" s="62"/>
      <c r="O29" s="62"/>
      <c r="P29" s="130"/>
      <c r="Q29" s="130"/>
      <c r="R29" s="130"/>
      <c r="S29" s="130"/>
      <c r="T29" s="130"/>
      <c r="U29" s="130"/>
      <c r="V29" s="130"/>
      <c r="W29" s="130"/>
      <c r="X29" s="2"/>
      <c r="Y29" s="130"/>
      <c r="Z29" s="130"/>
      <c r="AA29" s="130"/>
      <c r="AB29" s="130"/>
      <c r="AC29" s="137"/>
      <c r="AD29" s="119"/>
      <c r="AE29" s="130"/>
      <c r="AF29" s="130"/>
      <c r="AG29" s="130"/>
      <c r="AH29" s="104"/>
      <c r="AI29" s="166"/>
      <c r="AJ29" s="130"/>
      <c r="AK29" s="130"/>
      <c r="AL29" s="130"/>
      <c r="AM29" s="130"/>
      <c r="AN29" s="130"/>
      <c r="AO29" s="130"/>
      <c r="AP29" s="130"/>
      <c r="AQ29" s="32"/>
      <c r="AR29" s="5"/>
      <c r="AS29" s="32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G29" s="1"/>
      <c r="BI29" s="112"/>
      <c r="BJ29" s="4"/>
      <c r="BK29" s="4"/>
      <c r="BL29" s="112"/>
      <c r="BM29" s="1"/>
      <c r="BN29" s="4">
        <f>BN7</f>
        <v>369.33701827198752</v>
      </c>
      <c r="BO29" s="1">
        <f t="shared" ref="BO29:BS29" si="48">BO7</f>
        <v>19.673549839476511</v>
      </c>
      <c r="BP29" s="4">
        <f t="shared" si="48"/>
        <v>586.70436538593685</v>
      </c>
      <c r="BQ29" s="1">
        <f t="shared" si="48"/>
        <v>9.3757830691368831</v>
      </c>
      <c r="BR29" s="1">
        <f t="shared" si="48"/>
        <v>4.2621892153697125</v>
      </c>
      <c r="BS29" s="4">
        <f t="shared" si="48"/>
        <v>1936.6410026827191</v>
      </c>
      <c r="BT29" s="1">
        <f t="shared" ref="BT29" si="49">BT7</f>
        <v>23.285876006369893</v>
      </c>
      <c r="BU29" s="1"/>
      <c r="BV29" s="3"/>
      <c r="BW29" s="3"/>
      <c r="BX29" s="111"/>
      <c r="BY29" s="2"/>
      <c r="BZ29" s="2"/>
      <c r="CA29" s="3"/>
      <c r="CB29" s="111"/>
      <c r="CC29" s="111"/>
      <c r="CD29" s="111"/>
      <c r="CE29" s="111"/>
      <c r="CF29" s="111"/>
      <c r="CG29" s="111"/>
      <c r="CH29" s="111"/>
      <c r="CI29" s="111"/>
      <c r="CJ29" s="3"/>
      <c r="CK29" s="111"/>
      <c r="CL29" s="111"/>
      <c r="CM29" s="111"/>
      <c r="CN29" s="111"/>
      <c r="CO29" s="111"/>
      <c r="CP29" s="111"/>
      <c r="CQ29" s="111"/>
      <c r="CR29" s="111"/>
      <c r="CS29" s="3"/>
      <c r="CT29" s="115"/>
      <c r="CU29" s="116"/>
      <c r="CV29" s="116"/>
    </row>
    <row r="30" spans="1:100" s="79" customFormat="1" x14ac:dyDescent="0.25">
      <c r="A30" s="148"/>
      <c r="B30" s="153"/>
      <c r="C30" s="119"/>
      <c r="D30" s="119"/>
      <c r="E30" s="154"/>
      <c r="F30" s="5"/>
      <c r="G30" s="67"/>
      <c r="H30" s="70"/>
      <c r="I30" s="74"/>
      <c r="J30" s="78"/>
      <c r="M30" s="62"/>
      <c r="N30" s="62"/>
      <c r="O30" s="62"/>
      <c r="P30" s="130"/>
      <c r="Q30" s="130"/>
      <c r="R30" s="130"/>
      <c r="S30" s="130"/>
      <c r="T30" s="130"/>
      <c r="U30" s="130"/>
      <c r="V30" s="130"/>
      <c r="W30" s="130"/>
      <c r="X30" s="2"/>
      <c r="Y30" s="130"/>
      <c r="Z30" s="130"/>
      <c r="AA30" s="130"/>
      <c r="AB30" s="130"/>
      <c r="AC30" s="137"/>
      <c r="AD30" s="28"/>
      <c r="AE30" s="130"/>
      <c r="AF30" s="130"/>
      <c r="AG30" s="130"/>
      <c r="AH30" s="104"/>
      <c r="AI30" s="166"/>
      <c r="AJ30" s="130"/>
      <c r="AK30" s="130"/>
      <c r="AL30" s="130"/>
      <c r="AM30" s="130"/>
      <c r="AN30" s="130"/>
      <c r="AO30" s="130"/>
      <c r="AP30" s="130"/>
      <c r="AQ30" s="32"/>
      <c r="AR30" s="5"/>
      <c r="AS30" s="32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G30" s="1"/>
      <c r="BH30" s="5"/>
      <c r="BI30" s="112"/>
      <c r="BJ30" s="4"/>
      <c r="BK30" s="4"/>
      <c r="BL30" s="112"/>
      <c r="BM30" s="1"/>
      <c r="BN30" s="4"/>
      <c r="BO30" s="1"/>
      <c r="BP30" s="4"/>
      <c r="BQ30" s="1"/>
      <c r="BR30" s="1"/>
      <c r="BS30" s="4"/>
      <c r="BT30" s="1"/>
      <c r="BU30" s="1"/>
      <c r="BV30" s="3"/>
      <c r="BW30" s="3"/>
      <c r="BX30" s="111"/>
      <c r="BY30" s="2"/>
      <c r="BZ30" s="2"/>
      <c r="CA30" s="3"/>
      <c r="CB30" s="111"/>
      <c r="CC30" s="111"/>
      <c r="CD30" s="111"/>
      <c r="CE30" s="111"/>
      <c r="CF30" s="111"/>
      <c r="CG30" s="111"/>
      <c r="CH30" s="111"/>
      <c r="CI30" s="111"/>
      <c r="CJ30" s="3"/>
      <c r="CK30" s="111"/>
      <c r="CL30" s="111"/>
      <c r="CM30" s="111"/>
      <c r="CN30" s="111"/>
      <c r="CO30" s="111"/>
      <c r="CP30" s="111"/>
      <c r="CQ30" s="111"/>
      <c r="CR30" s="111"/>
      <c r="CS30" s="3"/>
      <c r="CT30" s="115"/>
      <c r="CU30" s="116"/>
      <c r="CV30" s="116"/>
    </row>
    <row r="31" spans="1:100" x14ac:dyDescent="0.25">
      <c r="A31" s="148"/>
      <c r="B31" s="153"/>
      <c r="C31" s="119"/>
      <c r="D31" s="119"/>
      <c r="E31" s="154"/>
      <c r="F31" s="5"/>
      <c r="G31" s="67"/>
      <c r="H31" s="70"/>
      <c r="I31" s="74"/>
      <c r="J31" s="78"/>
      <c r="P31" s="130"/>
      <c r="S31" s="130"/>
      <c r="T31" s="130"/>
      <c r="U31" s="130"/>
      <c r="V31" s="130"/>
      <c r="W31" s="130"/>
      <c r="Y31" s="130"/>
      <c r="Z31" s="130"/>
      <c r="AA31" s="130"/>
      <c r="AB31" s="130"/>
      <c r="AC31" s="130"/>
      <c r="AD31" s="130"/>
      <c r="AE31" s="104"/>
      <c r="AF31" s="104"/>
      <c r="AI31" s="166"/>
      <c r="AJ31" s="130"/>
      <c r="AK31" s="130"/>
      <c r="AL31" s="130"/>
      <c r="AM31" s="130"/>
      <c r="AN31" s="130"/>
      <c r="AP31" s="32"/>
      <c r="AR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H31" s="119" t="s">
        <v>104</v>
      </c>
      <c r="BI31" s="112">
        <f>BI8</f>
        <v>3.4673685045253172E-2</v>
      </c>
      <c r="BJ31" s="4">
        <f t="shared" ref="BJ31:BM31" si="50">BJ8</f>
        <v>918.02485153949783</v>
      </c>
      <c r="BK31" s="4">
        <f t="shared" si="50"/>
        <v>340.93205001645276</v>
      </c>
      <c r="BL31" s="4">
        <f t="shared" si="50"/>
        <v>795.0369725967812</v>
      </c>
      <c r="BM31" s="1">
        <f t="shared" si="50"/>
        <v>69.06015037593987</v>
      </c>
      <c r="BN31" s="4"/>
      <c r="BQ31" s="1"/>
      <c r="BR31" s="1"/>
      <c r="BS31" s="4"/>
      <c r="BT31" s="1"/>
      <c r="BU31" s="1"/>
    </row>
    <row r="32" spans="1:100" s="79" customFormat="1" x14ac:dyDescent="0.25">
      <c r="A32" s="148"/>
      <c r="B32" s="153"/>
      <c r="C32" s="119"/>
      <c r="D32" s="119"/>
      <c r="E32" s="154"/>
      <c r="F32" s="5"/>
      <c r="G32" s="67"/>
      <c r="H32" s="70"/>
      <c r="I32" s="74"/>
      <c r="J32" s="78"/>
      <c r="M32" s="62"/>
      <c r="N32" s="62"/>
      <c r="O32" s="62"/>
      <c r="P32" s="130"/>
      <c r="Q32" s="130"/>
      <c r="R32" s="130"/>
      <c r="S32" s="130"/>
      <c r="T32" s="130"/>
      <c r="U32" s="130"/>
      <c r="V32" s="130"/>
      <c r="W32" s="130"/>
      <c r="X32" s="2"/>
      <c r="Y32" s="130"/>
      <c r="Z32" s="130"/>
      <c r="AA32" s="130"/>
      <c r="AB32" s="130"/>
      <c r="AC32" s="130"/>
      <c r="AD32" s="130"/>
      <c r="AE32" s="104"/>
      <c r="AF32" s="104"/>
      <c r="AG32" s="2"/>
      <c r="AH32" s="2"/>
      <c r="AI32" s="166"/>
      <c r="AJ32" s="130"/>
      <c r="AK32" s="130"/>
      <c r="AL32" s="130"/>
      <c r="AM32" s="130"/>
      <c r="AN32" s="130"/>
      <c r="AO32" s="130"/>
      <c r="AP32" s="32"/>
      <c r="AQ32" s="32"/>
      <c r="AR32" s="5"/>
      <c r="AS32" s="32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G32" s="1"/>
      <c r="BH32" s="5"/>
      <c r="BI32" s="112"/>
      <c r="BJ32" s="4"/>
      <c r="BK32" s="4"/>
      <c r="BL32" s="112"/>
      <c r="BM32" s="1"/>
      <c r="BN32" s="4">
        <f>BN8</f>
        <v>332.18261227149611</v>
      </c>
      <c r="BO32" s="1">
        <f t="shared" ref="BO32:BS32" si="51">BO8</f>
        <v>92.552969827987596</v>
      </c>
      <c r="BP32" s="4">
        <f t="shared" si="51"/>
        <v>927.96246277068872</v>
      </c>
      <c r="BQ32" s="1">
        <f t="shared" si="51"/>
        <v>15.674176592924082</v>
      </c>
      <c r="BR32" s="1">
        <f t="shared" si="51"/>
        <v>0.58120762027768813</v>
      </c>
      <c r="BS32" s="4">
        <f t="shared" si="51"/>
        <v>944.15128036642182</v>
      </c>
      <c r="BT32" s="1">
        <f t="shared" ref="BT32" si="52">BT8</f>
        <v>25.251822554650722</v>
      </c>
      <c r="BU32" s="1"/>
      <c r="BV32" s="3"/>
      <c r="BW32" s="3"/>
      <c r="BX32" s="111"/>
      <c r="BY32" s="2"/>
      <c r="BZ32" s="2"/>
      <c r="CA32" s="3"/>
      <c r="CB32" s="111"/>
      <c r="CC32" s="111"/>
      <c r="CD32" s="111"/>
      <c r="CE32" s="111"/>
      <c r="CF32" s="111"/>
      <c r="CG32" s="111"/>
      <c r="CH32" s="111"/>
      <c r="CI32" s="111"/>
      <c r="CJ32" s="3"/>
      <c r="CK32" s="111"/>
      <c r="CL32" s="111"/>
      <c r="CM32" s="111"/>
      <c r="CN32" s="111"/>
      <c r="CO32" s="111"/>
      <c r="CP32" s="111"/>
      <c r="CQ32" s="111"/>
      <c r="CR32" s="111"/>
      <c r="CS32" s="3"/>
      <c r="CT32" s="115"/>
      <c r="CU32" s="116"/>
      <c r="CV32" s="116"/>
    </row>
    <row r="33" spans="1:100" s="79" customFormat="1" x14ac:dyDescent="0.25">
      <c r="A33" s="148"/>
      <c r="B33" s="153"/>
      <c r="C33" s="119"/>
      <c r="D33" s="119"/>
      <c r="E33" s="154"/>
      <c r="F33" s="5"/>
      <c r="G33" s="67"/>
      <c r="H33" s="70"/>
      <c r="I33" s="74"/>
      <c r="J33" s="78"/>
      <c r="M33" s="62"/>
      <c r="N33" s="62"/>
      <c r="O33" s="62"/>
      <c r="P33" s="130"/>
      <c r="Q33" s="130"/>
      <c r="R33" s="130"/>
      <c r="S33" s="130"/>
      <c r="T33" s="130"/>
      <c r="U33" s="130"/>
      <c r="V33" s="130"/>
      <c r="W33" s="130"/>
      <c r="X33" s="2"/>
      <c r="Y33" s="130"/>
      <c r="Z33" s="130"/>
      <c r="AA33" s="130"/>
      <c r="AB33" s="130"/>
      <c r="AC33" s="130"/>
      <c r="AD33" s="130"/>
      <c r="AE33" s="2"/>
      <c r="AF33" s="2"/>
      <c r="AG33" s="2"/>
      <c r="AH33" s="2"/>
      <c r="AI33" s="166"/>
      <c r="AJ33" s="130"/>
      <c r="AK33" s="130"/>
      <c r="AL33" s="130"/>
      <c r="AM33" s="130"/>
      <c r="AN33" s="130"/>
      <c r="AO33" s="130"/>
      <c r="AP33" s="32"/>
      <c r="AQ33" s="32"/>
      <c r="AR33" s="5"/>
      <c r="AS33" s="32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G33" s="1"/>
      <c r="BH33" s="5"/>
      <c r="BI33" s="112"/>
      <c r="BJ33" s="4"/>
      <c r="BK33" s="4"/>
      <c r="BL33" s="112"/>
      <c r="BM33" s="1"/>
      <c r="BN33" s="4"/>
      <c r="BO33" s="1"/>
      <c r="BP33" s="4"/>
      <c r="BQ33" s="1"/>
      <c r="BR33" s="1"/>
      <c r="BS33" s="4"/>
      <c r="BT33" s="1"/>
      <c r="BU33" s="1"/>
      <c r="BV33" s="3"/>
      <c r="BW33" s="3"/>
      <c r="BX33" s="111"/>
      <c r="BY33" s="2"/>
      <c r="BZ33" s="2"/>
      <c r="CA33" s="3"/>
      <c r="CB33" s="111"/>
      <c r="CC33" s="111"/>
      <c r="CD33" s="111"/>
      <c r="CE33" s="111"/>
      <c r="CF33" s="111"/>
      <c r="CG33" s="111"/>
      <c r="CH33" s="111"/>
      <c r="CI33" s="111"/>
      <c r="CJ33" s="3"/>
      <c r="CK33" s="111"/>
      <c r="CL33" s="111"/>
      <c r="CM33" s="111"/>
      <c r="CN33" s="111"/>
      <c r="CO33" s="111"/>
      <c r="CP33" s="111"/>
      <c r="CQ33" s="111"/>
      <c r="CR33" s="111"/>
      <c r="CS33" s="3"/>
      <c r="CT33" s="115"/>
      <c r="CU33" s="116"/>
      <c r="CV33" s="116"/>
    </row>
    <row r="34" spans="1:100" x14ac:dyDescent="0.25">
      <c r="A34" s="148"/>
      <c r="B34" s="153"/>
      <c r="C34" s="119"/>
      <c r="D34" s="119"/>
      <c r="E34" s="154"/>
      <c r="F34" s="45"/>
      <c r="P34" s="130"/>
      <c r="S34" s="130"/>
      <c r="T34" s="130"/>
      <c r="U34" s="130"/>
      <c r="V34" s="130"/>
      <c r="W34" s="130"/>
      <c r="Y34" s="130"/>
      <c r="Z34" s="130"/>
      <c r="AA34" s="130"/>
      <c r="AB34" s="130"/>
      <c r="AC34" s="130"/>
      <c r="AD34" s="130"/>
      <c r="AI34" s="166"/>
      <c r="AJ34" s="130"/>
      <c r="AK34" s="130"/>
      <c r="AL34" s="130"/>
      <c r="AM34" s="130"/>
      <c r="AN34" s="130"/>
      <c r="AP34" s="32"/>
      <c r="AR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H34" s="119" t="s">
        <v>105</v>
      </c>
      <c r="BI34" s="112">
        <f>BI9</f>
        <v>3.0199517204020188E-2</v>
      </c>
      <c r="BJ34" s="4">
        <f t="shared" ref="BJ34:BM34" si="53">BJ9</f>
        <v>902.83946304705808</v>
      </c>
      <c r="BK34" s="4">
        <f t="shared" si="53"/>
        <v>231.94389601842713</v>
      </c>
      <c r="BL34" s="4">
        <f t="shared" si="53"/>
        <v>793.64941278816877</v>
      </c>
      <c r="BM34" s="1">
        <f t="shared" si="53"/>
        <v>44.33967571991203</v>
      </c>
      <c r="BN34" s="4"/>
      <c r="BQ34" s="1"/>
      <c r="BR34" s="1"/>
      <c r="BS34" s="4"/>
      <c r="BT34" s="1"/>
      <c r="BU34" s="1"/>
    </row>
    <row r="35" spans="1:100" s="79" customFormat="1" x14ac:dyDescent="0.25">
      <c r="A35" s="148"/>
      <c r="B35" s="153"/>
      <c r="C35" s="119"/>
      <c r="D35" s="119"/>
      <c r="E35" s="154"/>
      <c r="F35" s="45"/>
      <c r="G35" s="5"/>
      <c r="H35" s="5"/>
      <c r="I35" s="67"/>
      <c r="J35" s="70"/>
      <c r="K35" s="74"/>
      <c r="L35" s="78"/>
      <c r="M35" s="62"/>
      <c r="N35" s="62"/>
      <c r="O35" s="62"/>
      <c r="P35" s="130"/>
      <c r="Q35" s="130"/>
      <c r="R35" s="130"/>
      <c r="S35" s="130"/>
      <c r="T35" s="130"/>
      <c r="U35" s="130"/>
      <c r="V35" s="130"/>
      <c r="W35" s="130"/>
      <c r="X35" s="2"/>
      <c r="Y35" s="130"/>
      <c r="Z35" s="161"/>
      <c r="AA35" s="130"/>
      <c r="AB35" s="130"/>
      <c r="AC35" s="130"/>
      <c r="AD35" s="130"/>
      <c r="AE35" s="2"/>
      <c r="AF35" s="2"/>
      <c r="AG35" s="2"/>
      <c r="AH35" s="2"/>
      <c r="AI35" s="166"/>
      <c r="AJ35" s="130"/>
      <c r="AK35" s="130"/>
      <c r="AL35" s="130"/>
      <c r="AM35" s="130"/>
      <c r="AN35" s="130"/>
      <c r="AO35" s="130"/>
      <c r="AP35" s="32"/>
      <c r="AQ35" s="32"/>
      <c r="AR35" s="5"/>
      <c r="AS35" s="32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G35" s="1"/>
      <c r="BH35" s="5"/>
      <c r="BI35" s="112"/>
      <c r="BJ35" s="4"/>
      <c r="BK35" s="4"/>
      <c r="BL35" s="112"/>
      <c r="BM35" s="1"/>
      <c r="BN35" s="4">
        <f>BN9</f>
        <v>408.94083080047886</v>
      </c>
      <c r="BO35" s="1">
        <f t="shared" ref="BO35:BS35" si="54">BO9</f>
        <v>54.388255320920337</v>
      </c>
      <c r="BP35" s="4">
        <f t="shared" si="54"/>
        <v>945.32152930440861</v>
      </c>
      <c r="BQ35" s="1">
        <f t="shared" si="54"/>
        <v>9.4477363342568239</v>
      </c>
      <c r="BR35" s="1">
        <f t="shared" si="54"/>
        <v>0.38747174685179209</v>
      </c>
      <c r="BS35" s="4">
        <f t="shared" si="54"/>
        <v>825.2366292308202</v>
      </c>
      <c r="BT35" s="1">
        <f t="shared" ref="BT35" si="55">BT9</f>
        <v>26.098982669698081</v>
      </c>
      <c r="BU35" s="1"/>
      <c r="BV35" s="3"/>
      <c r="BW35" s="3"/>
      <c r="BX35" s="111"/>
      <c r="BY35" s="2"/>
      <c r="BZ35" s="2"/>
      <c r="CA35" s="3"/>
      <c r="CB35" s="111"/>
      <c r="CC35" s="111"/>
      <c r="CD35" s="111"/>
      <c r="CE35" s="111"/>
      <c r="CF35" s="111"/>
      <c r="CG35" s="111"/>
      <c r="CH35" s="111"/>
      <c r="CI35" s="111"/>
      <c r="CJ35" s="3"/>
      <c r="CK35" s="111"/>
      <c r="CL35" s="111"/>
      <c r="CM35" s="111"/>
      <c r="CN35" s="111"/>
      <c r="CO35" s="111"/>
      <c r="CP35" s="111"/>
      <c r="CQ35" s="111"/>
      <c r="CR35" s="111"/>
      <c r="CS35" s="3"/>
      <c r="CT35" s="115"/>
      <c r="CU35" s="116"/>
      <c r="CV35" s="116"/>
    </row>
    <row r="36" spans="1:100" s="79" customFormat="1" x14ac:dyDescent="0.25">
      <c r="A36" s="148"/>
      <c r="B36" s="153"/>
      <c r="C36" s="119"/>
      <c r="D36" s="119"/>
      <c r="E36" s="154"/>
      <c r="F36" s="45"/>
      <c r="G36" s="5"/>
      <c r="H36" s="5"/>
      <c r="I36" s="67"/>
      <c r="J36" s="70"/>
      <c r="K36" s="74"/>
      <c r="L36" s="78"/>
      <c r="M36" s="62"/>
      <c r="N36" s="62"/>
      <c r="O36" s="62"/>
      <c r="P36" s="130"/>
      <c r="Q36" s="130"/>
      <c r="R36" s="130"/>
      <c r="S36" s="130"/>
      <c r="T36" s="130"/>
      <c r="U36" s="130"/>
      <c r="V36" s="130"/>
      <c r="W36" s="130"/>
      <c r="X36" s="2"/>
      <c r="Y36" s="130"/>
      <c r="Z36" s="161"/>
      <c r="AA36" s="130"/>
      <c r="AB36" s="130"/>
      <c r="AC36" s="130"/>
      <c r="AD36" s="130"/>
      <c r="AE36" s="2"/>
      <c r="AF36" s="2"/>
      <c r="AG36" s="2"/>
      <c r="AH36" s="2"/>
      <c r="AI36" s="166"/>
      <c r="AJ36" s="130"/>
      <c r="AK36" s="130"/>
      <c r="AL36" s="130"/>
      <c r="AM36" s="130"/>
      <c r="AN36" s="130"/>
      <c r="AO36" s="130"/>
      <c r="AP36" s="32"/>
      <c r="AQ36" s="32"/>
      <c r="AR36" s="5"/>
      <c r="AS36" s="32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G36" s="1"/>
      <c r="BH36" s="5"/>
      <c r="BI36" s="112"/>
      <c r="BJ36" s="4"/>
      <c r="BK36" s="4"/>
      <c r="BL36" s="112"/>
      <c r="BM36" s="1"/>
      <c r="BN36" s="4"/>
      <c r="BO36" s="1"/>
      <c r="BP36" s="4"/>
      <c r="BQ36" s="1"/>
      <c r="BR36" s="1"/>
      <c r="BS36" s="4"/>
      <c r="BT36" s="1"/>
      <c r="BU36" s="1"/>
      <c r="BV36" s="3"/>
      <c r="BW36" s="3"/>
      <c r="BX36" s="111"/>
      <c r="BY36" s="2"/>
      <c r="BZ36" s="2"/>
      <c r="CA36" s="3"/>
      <c r="CB36" s="111"/>
      <c r="CC36" s="111"/>
      <c r="CD36" s="111"/>
      <c r="CE36" s="111"/>
      <c r="CF36" s="111"/>
      <c r="CG36" s="111"/>
      <c r="CH36" s="111"/>
      <c r="CI36" s="111"/>
      <c r="CJ36" s="3"/>
      <c r="CK36" s="111"/>
      <c r="CL36" s="111"/>
      <c r="CM36" s="111"/>
      <c r="CN36" s="111"/>
      <c r="CO36" s="111"/>
      <c r="CP36" s="111"/>
      <c r="CQ36" s="111"/>
      <c r="CR36" s="111"/>
      <c r="CS36" s="3"/>
      <c r="CT36" s="115"/>
      <c r="CU36" s="116"/>
      <c r="CV36" s="116"/>
    </row>
    <row r="37" spans="1:100" x14ac:dyDescent="0.25">
      <c r="A37" s="148"/>
      <c r="B37" s="153"/>
      <c r="C37" s="119"/>
      <c r="D37" s="119"/>
      <c r="E37" s="154"/>
      <c r="F37" s="45"/>
      <c r="P37" s="130"/>
      <c r="S37" s="130"/>
      <c r="T37" s="130"/>
      <c r="U37" s="130"/>
      <c r="V37" s="130"/>
      <c r="W37" s="130"/>
      <c r="Y37" s="130"/>
      <c r="Z37" s="130"/>
      <c r="AA37" s="130"/>
      <c r="AB37" s="130"/>
      <c r="AC37" s="130"/>
      <c r="AD37" s="130"/>
      <c r="AI37" s="166"/>
      <c r="AJ37" s="130"/>
      <c r="AK37" s="130"/>
      <c r="AL37" s="130"/>
      <c r="AM37" s="130"/>
      <c r="AN37" s="130"/>
      <c r="AP37" s="32"/>
      <c r="AR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H37" s="119" t="s">
        <v>106</v>
      </c>
      <c r="BI37" s="112">
        <f>BI10</f>
        <v>4.0738027780411253E-2</v>
      </c>
      <c r="BJ37" s="4">
        <f t="shared" ref="BJ37:BM37" si="56">BJ10</f>
        <v>1112.7850691152253</v>
      </c>
      <c r="BK37" s="4">
        <f t="shared" si="56"/>
        <v>251.12948338269163</v>
      </c>
      <c r="BL37" s="4">
        <f t="shared" si="56"/>
        <v>1099.4649847759897</v>
      </c>
      <c r="BM37" s="1">
        <f t="shared" si="56"/>
        <v>70.885888189862428</v>
      </c>
      <c r="BN37" s="4"/>
      <c r="BQ37" s="1"/>
      <c r="BR37" s="1"/>
      <c r="BS37" s="4"/>
      <c r="BT37" s="1"/>
      <c r="BU37" s="1"/>
    </row>
    <row r="38" spans="1:100" s="79" customFormat="1" x14ac:dyDescent="0.25">
      <c r="A38" s="148"/>
      <c r="B38" s="153"/>
      <c r="C38" s="119"/>
      <c r="D38" s="119"/>
      <c r="E38" s="154"/>
      <c r="F38" s="45"/>
      <c r="G38" s="5"/>
      <c r="H38" s="5"/>
      <c r="I38" s="67"/>
      <c r="J38" s="70"/>
      <c r="K38" s="74"/>
      <c r="L38" s="78"/>
      <c r="M38" s="62"/>
      <c r="N38" s="62"/>
      <c r="O38" s="62"/>
      <c r="P38" s="130"/>
      <c r="Q38" s="130"/>
      <c r="R38" s="130"/>
      <c r="S38" s="130"/>
      <c r="T38" s="130"/>
      <c r="U38" s="130"/>
      <c r="V38" s="130"/>
      <c r="W38" s="130"/>
      <c r="X38" s="2"/>
      <c r="Y38" s="130"/>
      <c r="Z38" s="161"/>
      <c r="AA38" s="130"/>
      <c r="AB38" s="130"/>
      <c r="AC38" s="130"/>
      <c r="AD38" s="130"/>
      <c r="AE38" s="2"/>
      <c r="AF38" s="2"/>
      <c r="AG38" s="2"/>
      <c r="AH38" s="2"/>
      <c r="AI38" s="166"/>
      <c r="AJ38" s="130"/>
      <c r="AK38" s="130"/>
      <c r="AL38" s="130"/>
      <c r="AM38" s="130"/>
      <c r="AN38" s="130"/>
      <c r="AO38" s="130"/>
      <c r="AP38" s="32"/>
      <c r="AQ38" s="32"/>
      <c r="AR38" s="5"/>
      <c r="AS38" s="32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G38" s="1"/>
      <c r="BH38" s="5"/>
      <c r="BI38" s="112"/>
      <c r="BJ38" s="4"/>
      <c r="BK38" s="4"/>
      <c r="BL38" s="112"/>
      <c r="BM38" s="1"/>
      <c r="BN38" s="4">
        <f>BN10</f>
        <v>491.10600886402187</v>
      </c>
      <c r="BO38" s="1">
        <f t="shared" ref="BO38:BS38" si="57">BO10</f>
        <v>6.389267685656896</v>
      </c>
      <c r="BP38" s="4">
        <f t="shared" si="57"/>
        <v>1247.732492612043</v>
      </c>
      <c r="BQ38" s="1">
        <f t="shared" si="57"/>
        <v>8.2723373944355405</v>
      </c>
      <c r="BR38" s="1">
        <f t="shared" si="57"/>
        <v>0.29060381013884407</v>
      </c>
      <c r="BS38" s="4">
        <f t="shared" si="57"/>
        <v>1155.7939535267312</v>
      </c>
      <c r="BT38" s="1">
        <f t="shared" ref="BT38" si="58">BT10</f>
        <v>21.775407188738708</v>
      </c>
      <c r="BU38" s="1"/>
      <c r="BV38" s="3"/>
      <c r="BW38" s="3"/>
      <c r="BX38" s="111"/>
      <c r="BY38" s="2"/>
      <c r="BZ38" s="2"/>
      <c r="CA38" s="3"/>
      <c r="CB38" s="111"/>
      <c r="CC38" s="111"/>
      <c r="CD38" s="111"/>
      <c r="CE38" s="111"/>
      <c r="CF38" s="111"/>
      <c r="CG38" s="111"/>
      <c r="CH38" s="111"/>
      <c r="CI38" s="111"/>
      <c r="CJ38" s="3"/>
      <c r="CK38" s="111"/>
      <c r="CL38" s="111"/>
      <c r="CM38" s="111"/>
      <c r="CN38" s="111"/>
      <c r="CO38" s="111"/>
      <c r="CP38" s="111"/>
      <c r="CQ38" s="111"/>
      <c r="CR38" s="111"/>
      <c r="CS38" s="3"/>
      <c r="CT38" s="115"/>
      <c r="CU38" s="116"/>
      <c r="CV38" s="116"/>
    </row>
    <row r="39" spans="1:100" x14ac:dyDescent="0.25">
      <c r="A39" s="148"/>
      <c r="B39" s="153"/>
      <c r="C39" s="119"/>
      <c r="D39" s="119"/>
      <c r="E39" s="154"/>
      <c r="F39" s="45"/>
      <c r="P39" s="130"/>
      <c r="S39" s="130"/>
      <c r="T39" s="130"/>
      <c r="U39" s="130"/>
      <c r="V39" s="130"/>
      <c r="W39" s="130"/>
      <c r="Y39" s="130"/>
      <c r="Z39" s="130"/>
      <c r="AA39" s="130"/>
      <c r="AB39" s="130"/>
      <c r="AC39" s="130"/>
      <c r="AD39" s="130"/>
      <c r="AI39" s="166"/>
      <c r="AJ39" s="130"/>
      <c r="AK39" s="130"/>
      <c r="AL39" s="130"/>
      <c r="AM39" s="130"/>
      <c r="AN39" s="130"/>
      <c r="AP39" s="32"/>
      <c r="AR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H39" s="5"/>
      <c r="BI39" s="112"/>
      <c r="BJ39" s="4"/>
      <c r="BK39" s="112"/>
      <c r="BL39" s="112"/>
      <c r="BM39" s="112"/>
      <c r="BN39" s="4"/>
      <c r="BQ39" s="1"/>
      <c r="BR39" s="1"/>
      <c r="BS39" s="4"/>
      <c r="BT39" s="1"/>
      <c r="BU39" s="1"/>
    </row>
    <row r="40" spans="1:100" x14ac:dyDescent="0.25">
      <c r="A40" s="148"/>
      <c r="B40" s="153"/>
      <c r="C40" s="119"/>
      <c r="D40" s="119"/>
      <c r="E40" s="154"/>
      <c r="F40" s="45"/>
      <c r="P40" s="130"/>
      <c r="S40" s="130"/>
      <c r="T40" s="130"/>
      <c r="U40" s="130"/>
      <c r="V40" s="130"/>
      <c r="W40" s="130"/>
      <c r="Y40" s="130"/>
      <c r="Z40" s="130"/>
      <c r="AA40" s="130"/>
      <c r="AB40" s="130"/>
      <c r="AC40" s="130"/>
      <c r="AD40" s="130"/>
      <c r="AI40" s="166"/>
      <c r="AJ40" s="130"/>
      <c r="AK40" s="130"/>
      <c r="AL40" s="130"/>
      <c r="AM40" s="130"/>
      <c r="AN40" s="130"/>
      <c r="AP40" s="32"/>
      <c r="AR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H40" s="119" t="s">
        <v>103</v>
      </c>
      <c r="BI40" s="112">
        <f>BI11</f>
        <v>0.1659586907437556</v>
      </c>
      <c r="BJ40" s="4">
        <f t="shared" ref="BJ40:BM40" si="59">BJ11</f>
        <v>225.99481012026547</v>
      </c>
      <c r="BK40" s="1">
        <f t="shared" si="59"/>
        <v>63.006581112207954</v>
      </c>
      <c r="BL40" s="4">
        <f t="shared" si="59"/>
        <v>160.77163984341018</v>
      </c>
      <c r="BM40" s="112">
        <f t="shared" si="59"/>
        <v>0</v>
      </c>
      <c r="BQ40" s="1"/>
      <c r="BR40" s="1"/>
      <c r="BS40" s="4"/>
      <c r="BT40" s="1"/>
      <c r="BU40" s="1"/>
    </row>
    <row r="41" spans="1:100" s="79" customFormat="1" x14ac:dyDescent="0.25">
      <c r="A41" s="148"/>
      <c r="B41" s="153"/>
      <c r="C41" s="119"/>
      <c r="D41" s="119"/>
      <c r="E41" s="154"/>
      <c r="F41" s="45"/>
      <c r="G41" s="5"/>
      <c r="H41" s="5"/>
      <c r="I41" s="67"/>
      <c r="J41" s="70"/>
      <c r="K41" s="74"/>
      <c r="L41" s="78"/>
      <c r="M41" s="62"/>
      <c r="N41" s="62"/>
      <c r="O41" s="62"/>
      <c r="P41" s="130"/>
      <c r="Q41" s="130"/>
      <c r="R41" s="130"/>
      <c r="S41" s="130"/>
      <c r="T41" s="130"/>
      <c r="U41" s="130"/>
      <c r="V41" s="130"/>
      <c r="W41" s="130"/>
      <c r="X41" s="2"/>
      <c r="Y41" s="130"/>
      <c r="Z41" s="161"/>
      <c r="AA41" s="130"/>
      <c r="AB41" s="130"/>
      <c r="AC41" s="130"/>
      <c r="AD41" s="130"/>
      <c r="AE41" s="2"/>
      <c r="AF41" s="2"/>
      <c r="AG41" s="2"/>
      <c r="AH41" s="2"/>
      <c r="AI41" s="166"/>
      <c r="AJ41" s="130"/>
      <c r="AK41" s="130"/>
      <c r="AL41" s="130"/>
      <c r="AM41" s="130"/>
      <c r="AN41" s="130"/>
      <c r="AO41" s="130"/>
      <c r="AP41" s="32"/>
      <c r="AQ41" s="32"/>
      <c r="AR41" s="5"/>
      <c r="AS41" s="32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G41" s="1"/>
      <c r="BH41" s="5"/>
      <c r="BI41" s="112"/>
      <c r="BJ41" s="4"/>
      <c r="BK41" s="112"/>
      <c r="BL41" s="112"/>
      <c r="BM41" s="112"/>
      <c r="BN41" s="1">
        <f>BN11</f>
        <v>95.274303450470228</v>
      </c>
      <c r="BO41" s="1">
        <f t="shared" ref="BO41:BS41" si="60">BO11</f>
        <v>10.48281447410357</v>
      </c>
      <c r="BP41" s="4">
        <f t="shared" si="60"/>
        <v>217.88788894383362</v>
      </c>
      <c r="BQ41" s="1">
        <f t="shared" si="60"/>
        <v>5.2346243789050417</v>
      </c>
      <c r="BR41" s="1">
        <f t="shared" si="60"/>
        <v>0.29060381013884407</v>
      </c>
      <c r="BS41" s="4">
        <f t="shared" si="60"/>
        <v>225.70731474037734</v>
      </c>
      <c r="BT41" s="1">
        <f t="shared" ref="BT41" si="61">BT11</f>
        <v>11.956656484975232</v>
      </c>
      <c r="BU41" s="1"/>
      <c r="BV41" s="3"/>
      <c r="BW41" s="3"/>
      <c r="BX41" s="111"/>
      <c r="BY41" s="2"/>
      <c r="BZ41" s="2"/>
      <c r="CA41" s="3"/>
      <c r="CB41" s="111"/>
      <c r="CC41" s="111"/>
      <c r="CD41" s="111"/>
      <c r="CE41" s="111"/>
      <c r="CF41" s="111"/>
      <c r="CG41" s="111"/>
      <c r="CH41" s="111"/>
      <c r="CI41" s="111"/>
      <c r="CJ41" s="3"/>
      <c r="CK41" s="111"/>
      <c r="CL41" s="111"/>
      <c r="CM41" s="111"/>
      <c r="CN41" s="111"/>
      <c r="CO41" s="111"/>
      <c r="CP41" s="111"/>
      <c r="CQ41" s="111"/>
      <c r="CR41" s="111"/>
      <c r="CS41" s="3"/>
      <c r="CT41" s="115"/>
      <c r="CU41" s="116"/>
      <c r="CV41" s="116"/>
    </row>
    <row r="42" spans="1:100" s="79" customFormat="1" x14ac:dyDescent="0.25">
      <c r="A42" s="148"/>
      <c r="B42" s="153"/>
      <c r="C42" s="119"/>
      <c r="D42" s="119"/>
      <c r="E42" s="154"/>
      <c r="F42" s="45"/>
      <c r="G42" s="5"/>
      <c r="H42" s="5"/>
      <c r="I42" s="67"/>
      <c r="J42" s="70"/>
      <c r="K42" s="74"/>
      <c r="L42" s="78"/>
      <c r="M42" s="62"/>
      <c r="N42" s="62"/>
      <c r="O42" s="62"/>
      <c r="P42" s="130"/>
      <c r="Q42" s="130"/>
      <c r="R42" s="130"/>
      <c r="S42" s="130"/>
      <c r="T42" s="130"/>
      <c r="U42" s="130"/>
      <c r="V42" s="130"/>
      <c r="W42" s="130"/>
      <c r="X42" s="2"/>
      <c r="Y42" s="130"/>
      <c r="Z42" s="161"/>
      <c r="AA42" s="130"/>
      <c r="AB42" s="130"/>
      <c r="AC42" s="130"/>
      <c r="AD42" s="130"/>
      <c r="AE42" s="2"/>
      <c r="AF42" s="2"/>
      <c r="AG42" s="2"/>
      <c r="AH42" s="2"/>
      <c r="AI42" s="166"/>
      <c r="AJ42" s="130"/>
      <c r="AK42" s="130"/>
      <c r="AL42" s="130"/>
      <c r="AM42" s="130"/>
      <c r="AN42" s="130"/>
      <c r="AO42" s="130"/>
      <c r="AP42" s="32"/>
      <c r="AQ42" s="32"/>
      <c r="AR42" s="5"/>
      <c r="AS42" s="32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G42" s="1"/>
      <c r="BH42" s="5"/>
      <c r="BI42" s="112"/>
      <c r="BJ42" s="4"/>
      <c r="BK42" s="112"/>
      <c r="BL42" s="112"/>
      <c r="BM42" s="112"/>
      <c r="BN42" s="1"/>
      <c r="BO42" s="1"/>
      <c r="BP42" s="1"/>
      <c r="BQ42" s="1"/>
      <c r="BR42" s="1"/>
      <c r="BS42" s="4"/>
      <c r="BT42" s="1"/>
      <c r="BU42" s="1"/>
      <c r="BV42" s="3"/>
      <c r="BW42" s="3"/>
      <c r="BX42" s="111"/>
      <c r="BY42" s="2"/>
      <c r="BZ42" s="2"/>
      <c r="CA42" s="3"/>
      <c r="CB42" s="111"/>
      <c r="CC42" s="111"/>
      <c r="CD42" s="111"/>
      <c r="CE42" s="111"/>
      <c r="CF42" s="111"/>
      <c r="CG42" s="111"/>
      <c r="CH42" s="111"/>
      <c r="CI42" s="111"/>
      <c r="CJ42" s="3"/>
      <c r="CK42" s="111"/>
      <c r="CL42" s="111"/>
      <c r="CM42" s="111"/>
      <c r="CN42" s="111"/>
      <c r="CO42" s="111"/>
      <c r="CP42" s="111"/>
      <c r="CQ42" s="111"/>
      <c r="CR42" s="111"/>
      <c r="CS42" s="3"/>
      <c r="CT42" s="115"/>
      <c r="CU42" s="116"/>
      <c r="CV42" s="116"/>
    </row>
    <row r="43" spans="1:100" x14ac:dyDescent="0.25">
      <c r="A43" s="148"/>
      <c r="B43" s="153"/>
      <c r="C43" s="119"/>
      <c r="D43" s="119"/>
      <c r="E43" s="154"/>
      <c r="F43" s="45"/>
      <c r="P43" s="130"/>
      <c r="S43" s="130"/>
      <c r="T43" s="130"/>
      <c r="U43" s="130"/>
      <c r="V43" s="130"/>
      <c r="W43" s="130"/>
      <c r="Y43" s="130"/>
      <c r="Z43" s="130"/>
      <c r="AA43" s="130"/>
      <c r="AB43" s="130"/>
      <c r="AC43" s="130"/>
      <c r="AD43" s="130"/>
      <c r="AI43" s="166"/>
      <c r="AJ43" s="130"/>
      <c r="AK43" s="130"/>
      <c r="AL43" s="130"/>
      <c r="AM43" s="130"/>
      <c r="AN43" s="130"/>
      <c r="AP43" s="32"/>
      <c r="AR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H43" s="119" t="s">
        <v>110</v>
      </c>
      <c r="BI43" s="112">
        <f>BI12</f>
        <v>7.5857757502918149E-2</v>
      </c>
      <c r="BJ43" s="1">
        <f t="shared" ref="BJ43:BM43" si="62">BJ12</f>
        <v>95.741304456310189</v>
      </c>
      <c r="BK43" s="1">
        <f t="shared" si="62"/>
        <v>25.508144126357351</v>
      </c>
      <c r="BL43" s="112">
        <f t="shared" si="62"/>
        <v>5.6416702914310575</v>
      </c>
      <c r="BM43" s="112">
        <f t="shared" si="62"/>
        <v>0</v>
      </c>
      <c r="BP43" s="1"/>
      <c r="BQ43" s="1"/>
      <c r="BR43" s="1"/>
      <c r="BS43" s="4"/>
      <c r="BT43" s="1"/>
      <c r="BU43" s="1"/>
    </row>
    <row r="44" spans="1:100" s="79" customFormat="1" x14ac:dyDescent="0.25">
      <c r="A44" s="148"/>
      <c r="B44" s="153"/>
      <c r="C44" s="119"/>
      <c r="D44" s="119"/>
      <c r="E44" s="154"/>
      <c r="F44" s="45"/>
      <c r="G44" s="5"/>
      <c r="H44" s="5"/>
      <c r="I44" s="67"/>
      <c r="J44" s="70"/>
      <c r="K44" s="74"/>
      <c r="L44" s="78"/>
      <c r="M44" s="62"/>
      <c r="N44" s="62"/>
      <c r="O44" s="62"/>
      <c r="P44" s="130"/>
      <c r="Q44" s="130"/>
      <c r="R44" s="130"/>
      <c r="S44" s="130"/>
      <c r="T44" s="130"/>
      <c r="U44" s="130"/>
      <c r="V44" s="130"/>
      <c r="W44" s="130"/>
      <c r="X44" s="2"/>
      <c r="Y44" s="130"/>
      <c r="Z44" s="161"/>
      <c r="AA44" s="130"/>
      <c r="AB44" s="130"/>
      <c r="AC44" s="130"/>
      <c r="AD44" s="130"/>
      <c r="AE44" s="2"/>
      <c r="AF44" s="2"/>
      <c r="AG44" s="2"/>
      <c r="AH44" s="2"/>
      <c r="AI44" s="166"/>
      <c r="AJ44" s="130"/>
      <c r="AK44" s="130"/>
      <c r="AL44" s="130"/>
      <c r="AM44" s="130"/>
      <c r="AN44" s="130"/>
      <c r="AO44" s="130"/>
      <c r="AP44" s="32"/>
      <c r="AQ44" s="32"/>
      <c r="AR44" s="5"/>
      <c r="AS44" s="32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G44" s="1"/>
      <c r="BH44" s="5"/>
      <c r="BI44" s="112"/>
      <c r="BJ44" s="4"/>
      <c r="BK44" s="112"/>
      <c r="BL44" s="112"/>
      <c r="BM44" s="112"/>
      <c r="BN44" s="1">
        <f>BN12</f>
        <v>42.559375099538507</v>
      </c>
      <c r="BO44" s="1">
        <f t="shared" ref="BO44:BS44" si="63">BO12</f>
        <v>8.4695265974434051</v>
      </c>
      <c r="BP44" s="1">
        <f t="shared" si="63"/>
        <v>51.583306216027864</v>
      </c>
      <c r="BQ44" s="1">
        <f t="shared" si="63"/>
        <v>4.3166603957510459</v>
      </c>
      <c r="BR44" s="1">
        <f t="shared" si="63"/>
        <v>0.19373587342589604</v>
      </c>
      <c r="BS44" s="4">
        <f t="shared" si="63"/>
        <v>95.471443350449164</v>
      </c>
      <c r="BT44" s="1">
        <f t="shared" ref="BT44" si="64">BT12</f>
        <v>13.206561722033289</v>
      </c>
      <c r="BU44" s="1"/>
      <c r="BV44" s="3"/>
      <c r="BW44" s="3"/>
      <c r="BX44" s="111"/>
      <c r="BY44" s="2"/>
      <c r="BZ44" s="2"/>
      <c r="CA44" s="3"/>
      <c r="CB44" s="111"/>
      <c r="CC44" s="111"/>
      <c r="CD44" s="111"/>
      <c r="CE44" s="111"/>
      <c r="CF44" s="111"/>
      <c r="CG44" s="111"/>
      <c r="CH44" s="111"/>
      <c r="CI44" s="111"/>
      <c r="CJ44" s="3"/>
      <c r="CK44" s="111"/>
      <c r="CL44" s="111"/>
      <c r="CM44" s="111"/>
      <c r="CN44" s="111"/>
      <c r="CO44" s="111"/>
      <c r="CP44" s="111"/>
      <c r="CQ44" s="111"/>
      <c r="CR44" s="111"/>
      <c r="CS44" s="3"/>
      <c r="CT44" s="115"/>
      <c r="CU44" s="116"/>
      <c r="CV44" s="116"/>
    </row>
    <row r="45" spans="1:100" x14ac:dyDescent="0.25">
      <c r="A45" s="148"/>
      <c r="B45" s="153"/>
      <c r="C45" s="119"/>
      <c r="D45" s="119"/>
      <c r="E45" s="154"/>
      <c r="F45" s="45"/>
      <c r="P45" s="130"/>
      <c r="S45" s="130"/>
      <c r="T45" s="130"/>
      <c r="U45" s="130"/>
      <c r="V45" s="130"/>
      <c r="W45" s="130"/>
      <c r="Y45" s="130"/>
      <c r="Z45" s="130"/>
      <c r="AA45" s="130"/>
      <c r="AB45" s="130"/>
      <c r="AC45" s="130"/>
      <c r="AD45" s="130"/>
      <c r="AI45" s="166"/>
      <c r="AJ45" s="130"/>
      <c r="AK45" s="130"/>
      <c r="AL45" s="130"/>
      <c r="AM45" s="130"/>
      <c r="AN45" s="130"/>
      <c r="AP45" s="32"/>
      <c r="AR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H45" s="5"/>
      <c r="BI45" s="112"/>
      <c r="BJ45" s="4"/>
      <c r="BK45" s="112"/>
      <c r="BL45" s="112"/>
      <c r="BM45" s="112"/>
      <c r="BP45" s="1"/>
      <c r="BQ45" s="1"/>
      <c r="BR45" s="1"/>
      <c r="BS45" s="4"/>
      <c r="BT45" s="1"/>
      <c r="BU45" s="1"/>
    </row>
    <row r="46" spans="1:100" x14ac:dyDescent="0.25">
      <c r="A46" s="148"/>
      <c r="B46" s="153"/>
      <c r="C46" s="119"/>
      <c r="D46" s="119"/>
      <c r="E46" s="154"/>
      <c r="F46" s="45"/>
      <c r="P46" s="130"/>
      <c r="S46" s="130"/>
      <c r="T46" s="130"/>
      <c r="U46" s="130"/>
      <c r="V46" s="130"/>
      <c r="W46" s="130"/>
      <c r="Y46" s="130"/>
      <c r="Z46" s="130"/>
      <c r="AA46" s="130"/>
      <c r="AB46" s="130"/>
      <c r="AC46" s="130"/>
      <c r="AD46" s="130"/>
      <c r="AI46" s="166"/>
      <c r="AJ46" s="130"/>
      <c r="AK46" s="130"/>
      <c r="AL46" s="130"/>
      <c r="AM46" s="130"/>
      <c r="AN46" s="130"/>
      <c r="AP46" s="32"/>
      <c r="AR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H46" s="119" t="s">
        <v>111</v>
      </c>
      <c r="BI46" s="112">
        <f>BI13</f>
        <v>5.3703179637025322E-3</v>
      </c>
      <c r="BJ46" s="4">
        <f t="shared" ref="BJ46:BM46" si="65">BJ13</f>
        <v>1149.4086531264034</v>
      </c>
      <c r="BK46" s="4">
        <f t="shared" si="65"/>
        <v>308.51678183613029</v>
      </c>
      <c r="BL46" s="4">
        <f t="shared" si="65"/>
        <v>565.77642453240537</v>
      </c>
      <c r="BM46" s="1">
        <f t="shared" si="65"/>
        <v>30.132729783642784</v>
      </c>
      <c r="BP46" s="1"/>
      <c r="BQ46" s="1"/>
      <c r="BR46" s="1"/>
      <c r="BS46" s="4"/>
      <c r="BT46" s="1"/>
      <c r="BU46" s="1"/>
    </row>
    <row r="47" spans="1:100" x14ac:dyDescent="0.25">
      <c r="A47" s="148"/>
      <c r="B47" s="153"/>
      <c r="C47" s="119"/>
      <c r="D47" s="119"/>
      <c r="E47" s="154"/>
      <c r="F47" s="45"/>
      <c r="P47" s="130"/>
      <c r="S47" s="130"/>
      <c r="T47" s="130"/>
      <c r="U47" s="130"/>
      <c r="V47" s="130"/>
      <c r="W47" s="130"/>
      <c r="Y47" s="130"/>
      <c r="Z47" s="130"/>
      <c r="AA47" s="130"/>
      <c r="AB47" s="130"/>
      <c r="AC47" s="130"/>
      <c r="AD47" s="130"/>
      <c r="AI47" s="166"/>
      <c r="AJ47" s="130"/>
      <c r="AK47" s="130"/>
      <c r="AL47" s="130"/>
      <c r="AM47" s="130"/>
      <c r="AN47" s="130"/>
      <c r="AP47" s="32"/>
      <c r="AR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H47" s="5"/>
      <c r="BI47" s="112"/>
      <c r="BJ47" s="4"/>
      <c r="BK47" s="112"/>
      <c r="BL47" s="112"/>
      <c r="BM47" s="112"/>
      <c r="BN47" s="4">
        <f>BN13</f>
        <v>168.43158996374322</v>
      </c>
      <c r="BO47" s="1">
        <f t="shared" ref="BO47:BS47" si="66">BO13</f>
        <v>3.2254578940662864</v>
      </c>
      <c r="BP47" s="4">
        <f t="shared" si="66"/>
        <v>407.19831325594726</v>
      </c>
      <c r="BQ47" s="1">
        <f t="shared" si="66"/>
        <v>4.268951194250679</v>
      </c>
      <c r="BR47" s="1">
        <f t="shared" si="66"/>
        <v>0.19373587342589604</v>
      </c>
      <c r="BS47" s="4">
        <f t="shared" si="66"/>
        <v>1710.0053164167766</v>
      </c>
      <c r="BT47" s="1">
        <f t="shared" ref="BT47" si="67">BT13</f>
        <v>33.764839890150554</v>
      </c>
      <c r="BU47" s="1"/>
    </row>
    <row r="48" spans="1:100" x14ac:dyDescent="0.25">
      <c r="A48" s="148"/>
      <c r="B48" s="153"/>
      <c r="C48" s="119"/>
      <c r="D48" s="119"/>
      <c r="E48" s="154"/>
      <c r="F48" s="45"/>
      <c r="P48" s="130"/>
      <c r="S48" s="130"/>
      <c r="T48" s="130"/>
      <c r="U48" s="130"/>
      <c r="V48" s="130"/>
      <c r="W48" s="130"/>
      <c r="Y48" s="130"/>
      <c r="Z48" s="130"/>
      <c r="AA48" s="130"/>
      <c r="AB48" s="130"/>
      <c r="AC48" s="130"/>
      <c r="AD48" s="130"/>
      <c r="AI48" s="166"/>
      <c r="AJ48" s="130"/>
      <c r="AK48" s="130"/>
      <c r="AL48" s="130"/>
      <c r="AM48" s="130"/>
      <c r="AN48" s="130"/>
      <c r="AP48" s="32"/>
      <c r="AR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H48" s="5"/>
      <c r="BI48" s="112"/>
      <c r="BJ48" s="4"/>
      <c r="BK48" s="112"/>
      <c r="BL48" s="112"/>
      <c r="BM48" s="112"/>
      <c r="BN48" s="4"/>
      <c r="BP48" s="1"/>
      <c r="BQ48" s="1"/>
      <c r="BR48" s="1"/>
      <c r="BS48" s="4"/>
      <c r="BT48" s="1"/>
      <c r="BU48" s="1"/>
    </row>
    <row r="49" spans="1:100" x14ac:dyDescent="0.25">
      <c r="A49" s="148"/>
      <c r="B49" s="153"/>
      <c r="C49" s="119"/>
      <c r="D49" s="119"/>
      <c r="E49" s="154"/>
      <c r="F49" s="45"/>
      <c r="P49" s="130"/>
      <c r="S49" s="130"/>
      <c r="T49" s="130"/>
      <c r="U49" s="130"/>
      <c r="V49" s="130"/>
      <c r="W49" s="130"/>
      <c r="Y49" s="130"/>
      <c r="Z49" s="86"/>
      <c r="AA49" s="86"/>
      <c r="AB49" s="130"/>
      <c r="AC49" s="130"/>
      <c r="AD49" s="130"/>
      <c r="AI49" s="166"/>
      <c r="AJ49" s="130"/>
      <c r="AK49" s="130"/>
      <c r="AL49" s="130"/>
      <c r="AM49" s="130"/>
      <c r="AN49" s="130"/>
      <c r="AP49" s="32"/>
      <c r="AR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H49" s="28" t="s">
        <v>109</v>
      </c>
      <c r="BI49" s="112">
        <f>BI14</f>
        <v>0.31622776601683733</v>
      </c>
      <c r="BJ49" s="4">
        <f t="shared" ref="BJ49:BM49" si="68">BJ14</f>
        <v>273.70327860671688</v>
      </c>
      <c r="BK49" s="1">
        <f t="shared" si="68"/>
        <v>76.878331688055269</v>
      </c>
      <c r="BL49" s="1">
        <f t="shared" si="68"/>
        <v>36.90561113527621</v>
      </c>
      <c r="BM49" s="112">
        <f t="shared" si="68"/>
        <v>0</v>
      </c>
      <c r="BN49" s="4"/>
      <c r="BP49" s="1"/>
      <c r="BQ49" s="1"/>
      <c r="BR49" s="1"/>
      <c r="BS49" s="4"/>
      <c r="BT49" s="1"/>
      <c r="BU49" s="1"/>
    </row>
    <row r="50" spans="1:100" s="79" customFormat="1" x14ac:dyDescent="0.25">
      <c r="A50" s="148"/>
      <c r="B50" s="153"/>
      <c r="C50" s="119"/>
      <c r="D50" s="119"/>
      <c r="E50" s="154"/>
      <c r="F50" s="45"/>
      <c r="G50" s="5"/>
      <c r="H50" s="5"/>
      <c r="I50" s="67"/>
      <c r="J50" s="70"/>
      <c r="K50" s="74"/>
      <c r="L50" s="78"/>
      <c r="M50" s="62"/>
      <c r="N50" s="62"/>
      <c r="O50" s="62"/>
      <c r="P50" s="130"/>
      <c r="Q50" s="130"/>
      <c r="R50" s="130"/>
      <c r="S50" s="130"/>
      <c r="T50" s="130"/>
      <c r="U50" s="130"/>
      <c r="V50" s="130"/>
      <c r="W50" s="130"/>
      <c r="X50" s="2"/>
      <c r="Y50" s="130"/>
      <c r="Z50" s="130"/>
      <c r="AA50" s="130"/>
      <c r="AB50" s="130"/>
      <c r="AC50" s="130"/>
      <c r="AD50" s="130"/>
      <c r="AE50" s="2"/>
      <c r="AF50" s="2"/>
      <c r="AG50" s="2"/>
      <c r="AH50" s="2"/>
      <c r="AI50" s="166"/>
      <c r="AJ50" s="130"/>
      <c r="AK50" s="130"/>
      <c r="AL50" s="130"/>
      <c r="AM50" s="130"/>
      <c r="AN50" s="130"/>
      <c r="AO50" s="130"/>
      <c r="AP50" s="32"/>
      <c r="AQ50" s="32"/>
      <c r="AR50" s="5"/>
      <c r="AS50" s="32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G50" s="1"/>
      <c r="BH50" s="119"/>
      <c r="BI50" s="1"/>
      <c r="BJ50" s="1"/>
      <c r="BK50" s="1"/>
      <c r="BL50" s="1"/>
      <c r="BM50" s="1"/>
      <c r="BN50" s="4">
        <f>BN14</f>
        <v>185.48294851499756</v>
      </c>
      <c r="BO50" s="1">
        <f t="shared" ref="BO50:BS50" si="69">BO14</f>
        <v>5.9007640202410734</v>
      </c>
      <c r="BP50" s="1">
        <f t="shared" si="69"/>
        <v>81.512896621800195</v>
      </c>
      <c r="BQ50" s="1">
        <f t="shared" si="69"/>
        <v>4.3058528011254529</v>
      </c>
      <c r="BR50" s="1">
        <f t="shared" si="69"/>
        <v>9.6867936712948022E-2</v>
      </c>
      <c r="BS50" s="4">
        <f t="shared" si="69"/>
        <v>241.89445370529103</v>
      </c>
      <c r="BT50" s="1">
        <f t="shared" ref="BT50" si="70">BT14</f>
        <v>3.9480040487591719</v>
      </c>
      <c r="BU50" s="1"/>
      <c r="BV50" s="3"/>
      <c r="BW50" s="3"/>
      <c r="BX50" s="111"/>
      <c r="BY50" s="2"/>
      <c r="BZ50" s="2"/>
      <c r="CA50" s="3"/>
      <c r="CB50" s="111"/>
      <c r="CC50" s="111"/>
      <c r="CD50" s="111"/>
      <c r="CE50" s="111"/>
      <c r="CF50" s="111"/>
      <c r="CG50" s="111"/>
      <c r="CH50" s="111"/>
      <c r="CI50" s="111"/>
      <c r="CJ50" s="3"/>
      <c r="CK50" s="111"/>
      <c r="CL50" s="111"/>
      <c r="CM50" s="111"/>
      <c r="CN50" s="111"/>
      <c r="CO50" s="111"/>
      <c r="CP50" s="111"/>
      <c r="CQ50" s="111"/>
      <c r="CR50" s="111"/>
      <c r="CS50" s="3"/>
      <c r="CT50" s="115"/>
      <c r="CU50" s="116"/>
      <c r="CV50" s="116"/>
    </row>
    <row r="51" spans="1:100" s="79" customFormat="1" x14ac:dyDescent="0.25">
      <c r="A51" s="148"/>
      <c r="B51" s="153"/>
      <c r="C51" s="119"/>
      <c r="D51" s="119"/>
      <c r="E51" s="154"/>
      <c r="F51" s="45"/>
      <c r="G51" s="5"/>
      <c r="H51" s="5"/>
      <c r="I51" s="67"/>
      <c r="J51" s="70"/>
      <c r="K51" s="74"/>
      <c r="L51" s="78"/>
      <c r="M51" s="62"/>
      <c r="N51" s="62"/>
      <c r="O51" s="62"/>
      <c r="P51" s="130"/>
      <c r="Q51" s="130"/>
      <c r="R51" s="130"/>
      <c r="S51" s="130"/>
      <c r="T51" s="130"/>
      <c r="U51" s="130"/>
      <c r="V51" s="130"/>
      <c r="W51" s="130"/>
      <c r="X51" s="2"/>
      <c r="Y51" s="130"/>
      <c r="Z51" s="130"/>
      <c r="AA51" s="130"/>
      <c r="AB51" s="130"/>
      <c r="AC51" s="130"/>
      <c r="AD51" s="130"/>
      <c r="AE51" s="2"/>
      <c r="AF51" s="2"/>
      <c r="AG51" s="2"/>
      <c r="AH51" s="2"/>
      <c r="AI51" s="166"/>
      <c r="AJ51" s="130"/>
      <c r="AK51" s="130"/>
      <c r="AL51" s="130"/>
      <c r="AM51" s="130"/>
      <c r="AN51" s="130"/>
      <c r="AO51" s="130"/>
      <c r="AP51" s="32"/>
      <c r="AQ51" s="32"/>
      <c r="AR51" s="5"/>
      <c r="AS51" s="32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1"/>
      <c r="BH51" s="119"/>
      <c r="BI51" s="1"/>
      <c r="BJ51" s="1"/>
      <c r="BK51" s="1"/>
      <c r="BL51" s="1"/>
      <c r="BM51" s="1"/>
      <c r="BN51" s="1"/>
      <c r="BO51" s="1"/>
      <c r="BP51" s="4"/>
      <c r="BQ51" s="4"/>
      <c r="BR51" s="112"/>
      <c r="BS51" s="45"/>
      <c r="BT51" s="45"/>
      <c r="BU51" s="58"/>
      <c r="BV51" s="3"/>
      <c r="BW51" s="3"/>
      <c r="BX51" s="111"/>
      <c r="BY51" s="2"/>
      <c r="BZ51" s="2"/>
      <c r="CA51" s="3"/>
      <c r="CB51" s="111"/>
      <c r="CC51" s="111"/>
      <c r="CD51" s="111"/>
      <c r="CE51" s="111"/>
      <c r="CF51" s="111"/>
      <c r="CG51" s="111"/>
      <c r="CH51" s="111"/>
      <c r="CI51" s="111"/>
      <c r="CJ51" s="3"/>
      <c r="CK51" s="111"/>
      <c r="CL51" s="111"/>
      <c r="CM51" s="111"/>
      <c r="CN51" s="111"/>
      <c r="CO51" s="111"/>
      <c r="CP51" s="111"/>
      <c r="CQ51" s="111"/>
      <c r="CR51" s="111"/>
      <c r="CS51" s="3"/>
      <c r="CT51" s="115"/>
      <c r="CU51" s="116"/>
      <c r="CV51" s="116"/>
    </row>
    <row r="52" spans="1:100" x14ac:dyDescent="0.25">
      <c r="A52" s="148"/>
      <c r="B52" s="153"/>
      <c r="C52" s="119"/>
      <c r="D52" s="119"/>
      <c r="E52" s="154"/>
      <c r="F52" s="45"/>
      <c r="P52" s="130"/>
      <c r="S52" s="130"/>
      <c r="T52" s="130"/>
      <c r="U52" s="130"/>
      <c r="V52" s="130"/>
      <c r="W52" s="130"/>
      <c r="Y52" s="130"/>
      <c r="Z52" s="130"/>
      <c r="AA52" s="130"/>
      <c r="AB52" s="130"/>
      <c r="AC52" s="130"/>
      <c r="AD52" s="130"/>
      <c r="AI52" s="166"/>
      <c r="AJ52" s="130"/>
      <c r="AK52" s="130"/>
      <c r="AL52" s="130"/>
      <c r="AM52" s="130"/>
      <c r="AN52" s="130"/>
      <c r="AP52" s="32"/>
      <c r="AR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</row>
    <row r="53" spans="1:100" x14ac:dyDescent="0.25">
      <c r="A53" s="148"/>
      <c r="B53" s="153"/>
      <c r="C53" s="119"/>
      <c r="D53" s="119"/>
      <c r="E53" s="154"/>
      <c r="F53" s="45"/>
      <c r="P53" s="130"/>
      <c r="S53" s="130"/>
      <c r="T53" s="130"/>
      <c r="U53" s="130"/>
      <c r="V53" s="130"/>
      <c r="W53" s="130"/>
      <c r="Y53" s="130"/>
      <c r="Z53" s="130"/>
      <c r="AA53" s="130"/>
      <c r="AB53" s="130"/>
      <c r="AC53" s="130"/>
      <c r="AD53" s="130"/>
      <c r="AI53" s="166"/>
      <c r="AJ53" s="130"/>
      <c r="AK53" s="130"/>
      <c r="AL53" s="130"/>
      <c r="AM53" s="130"/>
      <c r="AN53" s="130"/>
      <c r="AP53" s="32"/>
      <c r="AR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</row>
    <row r="54" spans="1:100" x14ac:dyDescent="0.25">
      <c r="A54" s="148"/>
      <c r="B54" s="153"/>
      <c r="C54" s="119"/>
      <c r="D54" s="119"/>
      <c r="E54" s="154"/>
      <c r="F54" s="45"/>
      <c r="P54" s="130"/>
      <c r="S54" s="130"/>
      <c r="T54" s="130"/>
      <c r="U54" s="130"/>
      <c r="V54" s="130"/>
      <c r="W54" s="130"/>
      <c r="Y54" s="130"/>
      <c r="Z54" s="130"/>
      <c r="AA54" s="130"/>
      <c r="AB54" s="130"/>
      <c r="AC54" s="130"/>
      <c r="AD54" s="130"/>
      <c r="AI54" s="166"/>
      <c r="AJ54" s="130"/>
      <c r="AK54" s="130"/>
      <c r="AL54" s="130"/>
      <c r="AM54" s="130"/>
      <c r="AN54" s="130"/>
      <c r="AP54" s="32"/>
      <c r="AR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</row>
    <row r="55" spans="1:100" x14ac:dyDescent="0.25">
      <c r="A55" s="148"/>
      <c r="B55" s="153"/>
      <c r="C55" s="119"/>
      <c r="D55" s="119"/>
      <c r="E55" s="154"/>
      <c r="F55" s="45"/>
      <c r="P55" s="130"/>
      <c r="S55" s="130"/>
      <c r="T55" s="130"/>
      <c r="U55" s="130"/>
      <c r="V55" s="130"/>
      <c r="W55" s="130"/>
      <c r="Y55" s="130"/>
      <c r="Z55" s="130"/>
      <c r="AA55" s="130"/>
      <c r="AB55" s="130"/>
      <c r="AC55" s="130"/>
      <c r="AD55" s="130"/>
      <c r="AI55" s="166"/>
      <c r="AJ55" s="130"/>
      <c r="AK55" s="130"/>
      <c r="AL55" s="130"/>
      <c r="AM55" s="130"/>
      <c r="AN55" s="130"/>
      <c r="AP55" s="32"/>
      <c r="AR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</row>
    <row r="56" spans="1:100" x14ac:dyDescent="0.25">
      <c r="A56" s="148"/>
      <c r="B56" s="153"/>
      <c r="C56" s="119"/>
      <c r="D56" s="119"/>
      <c r="E56" s="154"/>
      <c r="F56" s="45"/>
      <c r="P56" s="130"/>
      <c r="S56" s="130"/>
      <c r="T56" s="130"/>
      <c r="U56" s="130"/>
      <c r="V56" s="130"/>
      <c r="W56" s="130"/>
      <c r="Y56" s="130"/>
      <c r="Z56" s="130"/>
      <c r="AA56" s="130"/>
      <c r="AB56" s="130"/>
      <c r="AC56" s="130"/>
      <c r="AD56" s="130"/>
      <c r="AI56" s="166"/>
      <c r="AJ56" s="130"/>
      <c r="AK56" s="130"/>
      <c r="AL56" s="130"/>
      <c r="AM56" s="130"/>
      <c r="AN56" s="130"/>
      <c r="AP56" s="32"/>
      <c r="AR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</row>
    <row r="57" spans="1:100" x14ac:dyDescent="0.25">
      <c r="A57" s="148"/>
      <c r="B57" s="153"/>
      <c r="C57" s="119"/>
      <c r="D57" s="119"/>
      <c r="E57" s="154"/>
      <c r="F57" s="45"/>
      <c r="P57" s="130"/>
      <c r="S57" s="130"/>
      <c r="T57" s="130"/>
      <c r="U57" s="130"/>
      <c r="V57" s="130"/>
      <c r="W57" s="130"/>
      <c r="Y57" s="130"/>
      <c r="Z57" s="130"/>
      <c r="AA57" s="130"/>
      <c r="AB57" s="130"/>
      <c r="AC57" s="130"/>
      <c r="AD57" s="130"/>
      <c r="AI57" s="166"/>
      <c r="AJ57" s="130"/>
      <c r="AK57" s="130"/>
      <c r="AL57" s="130"/>
      <c r="AM57" s="130"/>
      <c r="AN57" s="130"/>
      <c r="AP57" s="32"/>
      <c r="AR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</row>
    <row r="58" spans="1:100" x14ac:dyDescent="0.25">
      <c r="A58" s="148"/>
      <c r="B58" s="153"/>
      <c r="C58" s="119"/>
      <c r="D58" s="119"/>
      <c r="E58" s="154"/>
      <c r="F58" s="45"/>
      <c r="P58" s="130"/>
      <c r="S58" s="130"/>
      <c r="T58" s="130"/>
      <c r="U58" s="130"/>
      <c r="V58" s="130"/>
      <c r="W58" s="130"/>
      <c r="Y58" s="130"/>
      <c r="Z58" s="130"/>
      <c r="AA58" s="130"/>
      <c r="AB58" s="130"/>
      <c r="AC58" s="130"/>
      <c r="AD58" s="130"/>
      <c r="AI58" s="166"/>
      <c r="AJ58" s="130"/>
      <c r="AK58" s="130"/>
      <c r="AL58" s="130"/>
      <c r="AM58" s="130"/>
      <c r="AN58" s="130"/>
      <c r="AP58" s="32"/>
      <c r="AR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</row>
    <row r="59" spans="1:100" x14ac:dyDescent="0.25">
      <c r="A59" s="148"/>
      <c r="B59" s="153"/>
      <c r="C59" s="119"/>
      <c r="D59" s="119"/>
      <c r="E59" s="154"/>
      <c r="F59" s="45"/>
      <c r="P59" s="130"/>
      <c r="S59" s="130"/>
      <c r="T59" s="130"/>
      <c r="U59" s="130"/>
      <c r="V59" s="130"/>
      <c r="W59" s="130"/>
      <c r="Y59" s="130"/>
      <c r="Z59" s="130"/>
      <c r="AA59" s="130"/>
      <c r="AB59" s="130"/>
      <c r="AC59" s="130"/>
      <c r="AD59" s="130"/>
      <c r="AI59" s="166"/>
      <c r="AJ59" s="130"/>
      <c r="AK59" s="130"/>
      <c r="AL59" s="130"/>
      <c r="AM59" s="130"/>
      <c r="AN59" s="130"/>
      <c r="AP59" s="32"/>
      <c r="AR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</row>
    <row r="60" spans="1:100" x14ac:dyDescent="0.25">
      <c r="A60" s="148"/>
      <c r="B60" s="153"/>
      <c r="C60" s="119"/>
      <c r="D60" s="119"/>
      <c r="E60" s="154"/>
      <c r="F60" s="45"/>
      <c r="P60" s="130"/>
      <c r="S60" s="130"/>
      <c r="T60" s="130"/>
      <c r="U60" s="130"/>
      <c r="V60" s="130"/>
      <c r="W60" s="130"/>
      <c r="Y60" s="130"/>
      <c r="Z60" s="130"/>
      <c r="AA60" s="130"/>
      <c r="AB60" s="130"/>
      <c r="AC60" s="130"/>
      <c r="AD60" s="130"/>
      <c r="AI60" s="166"/>
      <c r="AJ60" s="130"/>
      <c r="AK60" s="130"/>
      <c r="AL60" s="130"/>
      <c r="AM60" s="130"/>
      <c r="AN60" s="130"/>
      <c r="AP60" s="32"/>
      <c r="AR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</row>
    <row r="61" spans="1:100" x14ac:dyDescent="0.25">
      <c r="A61" s="148"/>
      <c r="B61" s="153"/>
      <c r="C61" s="119"/>
      <c r="D61" s="119"/>
      <c r="E61" s="154"/>
      <c r="F61" s="45"/>
      <c r="P61" s="130"/>
      <c r="S61" s="130"/>
      <c r="T61" s="130"/>
      <c r="U61" s="130"/>
      <c r="V61" s="130"/>
      <c r="W61" s="130"/>
      <c r="Y61" s="130"/>
      <c r="Z61" s="130"/>
      <c r="AA61" s="130"/>
      <c r="AB61" s="130"/>
      <c r="AC61" s="130"/>
      <c r="AD61" s="130"/>
      <c r="AI61" s="166"/>
      <c r="AJ61" s="130"/>
      <c r="AK61" s="130"/>
      <c r="AL61" s="130"/>
      <c r="AM61" s="130"/>
      <c r="AN61" s="130"/>
      <c r="AP61" s="32"/>
      <c r="AR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</row>
    <row r="62" spans="1:100" x14ac:dyDescent="0.25">
      <c r="A62" s="148"/>
      <c r="B62" s="153"/>
      <c r="C62" s="119"/>
      <c r="D62" s="119"/>
      <c r="E62" s="154"/>
      <c r="F62" s="45"/>
      <c r="P62" s="130"/>
      <c r="S62" s="130"/>
      <c r="T62" s="130"/>
      <c r="U62" s="130"/>
      <c r="V62" s="130"/>
      <c r="W62" s="130"/>
      <c r="Y62" s="130"/>
      <c r="Z62" s="130"/>
      <c r="AA62" s="130"/>
      <c r="AB62" s="130"/>
      <c r="AC62" s="130"/>
      <c r="AD62" s="130"/>
      <c r="AI62" s="166"/>
      <c r="AJ62" s="130"/>
      <c r="AK62" s="130"/>
      <c r="AL62" s="130"/>
      <c r="AM62" s="130"/>
      <c r="AN62" s="130"/>
      <c r="AP62" s="32"/>
      <c r="AR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R62" s="112"/>
    </row>
    <row r="63" spans="1:100" x14ac:dyDescent="0.25">
      <c r="A63" s="148"/>
      <c r="B63" s="153"/>
      <c r="C63" s="119"/>
      <c r="D63" s="119"/>
      <c r="E63" s="154"/>
      <c r="F63" s="45"/>
      <c r="P63" s="130"/>
      <c r="S63" s="130"/>
      <c r="T63" s="130"/>
      <c r="U63" s="130"/>
      <c r="V63" s="130"/>
      <c r="W63" s="130"/>
      <c r="Y63" s="130"/>
      <c r="Z63" s="130"/>
      <c r="AA63" s="130"/>
      <c r="AB63" s="130"/>
      <c r="AC63" s="130"/>
      <c r="AD63" s="130"/>
      <c r="AI63" s="166"/>
      <c r="AJ63" s="130"/>
      <c r="AK63" s="130"/>
      <c r="AL63" s="130"/>
      <c r="AM63" s="130"/>
      <c r="AN63" s="130"/>
      <c r="AP63" s="32"/>
      <c r="AR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R63" s="112"/>
    </row>
    <row r="64" spans="1:100" x14ac:dyDescent="0.25">
      <c r="A64" s="148"/>
      <c r="B64" s="153"/>
      <c r="C64" s="119"/>
      <c r="D64" s="119"/>
      <c r="E64" s="154"/>
      <c r="F64" s="45"/>
      <c r="P64" s="130"/>
      <c r="S64" s="130"/>
      <c r="T64" s="130"/>
      <c r="U64" s="130"/>
      <c r="V64" s="130"/>
      <c r="W64" s="130"/>
      <c r="Y64" s="130"/>
      <c r="Z64" s="130"/>
      <c r="AA64" s="130"/>
      <c r="AB64" s="130"/>
      <c r="AC64" s="130"/>
      <c r="AD64" s="130"/>
      <c r="AI64" s="166"/>
      <c r="AJ64" s="130"/>
      <c r="AK64" s="130"/>
      <c r="AL64" s="130"/>
      <c r="AM64" s="130"/>
      <c r="AN64" s="130"/>
      <c r="AP64" s="32"/>
      <c r="AR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R64" s="112"/>
    </row>
    <row r="65" spans="1:58" x14ac:dyDescent="0.25">
      <c r="A65" s="148"/>
      <c r="B65" s="153"/>
      <c r="C65" s="119"/>
      <c r="D65" s="119"/>
      <c r="E65" s="154"/>
      <c r="F65" s="45"/>
      <c r="P65" s="130"/>
      <c r="S65" s="130"/>
      <c r="T65" s="130"/>
      <c r="U65" s="130"/>
      <c r="V65" s="130"/>
      <c r="W65" s="130"/>
      <c r="Y65" s="130"/>
      <c r="Z65" s="130"/>
      <c r="AA65" s="130"/>
      <c r="AB65" s="130"/>
      <c r="AC65" s="130"/>
      <c r="AD65" s="130"/>
      <c r="AI65" s="166"/>
      <c r="AJ65" s="130"/>
      <c r="AK65" s="130"/>
      <c r="AL65" s="130"/>
      <c r="AM65" s="130"/>
      <c r="AN65" s="130"/>
      <c r="AP65" s="32"/>
      <c r="AR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</row>
    <row r="66" spans="1:58" x14ac:dyDescent="0.25">
      <c r="A66" s="148"/>
      <c r="B66" s="153"/>
      <c r="C66" s="119"/>
      <c r="D66" s="119"/>
      <c r="E66" s="154"/>
      <c r="F66" s="45"/>
      <c r="P66" s="130"/>
      <c r="S66" s="130"/>
      <c r="T66" s="130"/>
      <c r="U66" s="130"/>
      <c r="V66" s="130"/>
      <c r="W66" s="130"/>
      <c r="Y66" s="130"/>
      <c r="Z66" s="130"/>
      <c r="AA66" s="130"/>
      <c r="AB66" s="130"/>
      <c r="AC66" s="130"/>
      <c r="AD66" s="130"/>
      <c r="AI66" s="166"/>
      <c r="AJ66" s="130"/>
      <c r="AK66" s="130"/>
      <c r="AL66" s="130"/>
      <c r="AM66" s="130"/>
      <c r="AN66" s="130"/>
      <c r="AP66" s="32"/>
      <c r="AR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</row>
    <row r="67" spans="1:58" x14ac:dyDescent="0.25">
      <c r="A67" s="148"/>
      <c r="B67" s="153"/>
      <c r="C67" s="119"/>
      <c r="D67" s="119"/>
      <c r="E67" s="154"/>
      <c r="F67" s="45"/>
      <c r="P67" s="130"/>
      <c r="S67" s="130"/>
      <c r="T67" s="130"/>
      <c r="U67" s="130"/>
      <c r="V67" s="130"/>
      <c r="W67" s="130"/>
      <c r="Y67" s="130"/>
      <c r="Z67" s="130"/>
      <c r="AA67" s="130"/>
      <c r="AB67" s="130"/>
      <c r="AC67" s="130"/>
      <c r="AD67" s="130"/>
      <c r="AI67" s="166"/>
      <c r="AJ67" s="130"/>
      <c r="AK67" s="130"/>
      <c r="AL67" s="130"/>
      <c r="AM67" s="130"/>
      <c r="AN67" s="130"/>
      <c r="AP67" s="32"/>
      <c r="AR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</row>
    <row r="68" spans="1:58" x14ac:dyDescent="0.25">
      <c r="A68" s="148"/>
      <c r="B68" s="153"/>
      <c r="C68" s="119"/>
      <c r="D68" s="119"/>
      <c r="E68" s="154"/>
      <c r="F68" s="45"/>
      <c r="P68" s="130"/>
      <c r="S68" s="130"/>
      <c r="T68" s="130"/>
      <c r="U68" s="130"/>
      <c r="V68" s="130"/>
      <c r="W68" s="130"/>
      <c r="Y68" s="130"/>
      <c r="Z68" s="130"/>
      <c r="AA68" s="130"/>
      <c r="AB68" s="130"/>
      <c r="AC68" s="130"/>
      <c r="AD68" s="130"/>
      <c r="AI68" s="166"/>
      <c r="AJ68" s="130"/>
      <c r="AK68" s="130"/>
      <c r="AL68" s="130"/>
      <c r="AM68" s="130"/>
      <c r="AN68" s="130"/>
      <c r="AP68" s="32"/>
      <c r="AR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</row>
    <row r="69" spans="1:58" x14ac:dyDescent="0.25">
      <c r="A69" s="148"/>
      <c r="B69" s="153"/>
      <c r="C69" s="119"/>
      <c r="D69" s="119"/>
      <c r="E69" s="154"/>
      <c r="F69" s="45"/>
      <c r="P69" s="130"/>
      <c r="S69" s="130"/>
      <c r="T69" s="130"/>
      <c r="U69" s="130"/>
      <c r="V69" s="130"/>
      <c r="W69" s="130"/>
      <c r="Y69" s="130"/>
      <c r="Z69" s="130"/>
      <c r="AA69" s="130"/>
      <c r="AB69" s="130"/>
      <c r="AC69" s="130"/>
      <c r="AD69" s="130"/>
      <c r="AI69" s="166"/>
      <c r="AJ69" s="130"/>
      <c r="AK69" s="130"/>
      <c r="AL69" s="130"/>
      <c r="AM69" s="130"/>
      <c r="AN69" s="130"/>
      <c r="AP69" s="32"/>
      <c r="AR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</row>
    <row r="70" spans="1:58" x14ac:dyDescent="0.25">
      <c r="A70" s="148"/>
      <c r="B70" s="153"/>
      <c r="C70" s="119"/>
      <c r="D70" s="119"/>
      <c r="E70" s="154"/>
      <c r="F70" s="45"/>
      <c r="P70" s="130"/>
      <c r="S70" s="130"/>
      <c r="T70" s="130"/>
      <c r="U70" s="130"/>
      <c r="V70" s="130"/>
      <c r="W70" s="130"/>
      <c r="Y70" s="130"/>
      <c r="Z70" s="130"/>
      <c r="AA70" s="130"/>
      <c r="AB70" s="130"/>
      <c r="AC70" s="130"/>
      <c r="AD70" s="130"/>
      <c r="AI70" s="166"/>
      <c r="AJ70" s="130"/>
      <c r="AK70" s="130"/>
      <c r="AL70" s="130"/>
      <c r="AM70" s="130"/>
      <c r="AN70" s="130"/>
      <c r="AP70" s="32"/>
      <c r="AR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</row>
    <row r="71" spans="1:58" x14ac:dyDescent="0.25">
      <c r="A71" s="148"/>
      <c r="B71" s="153"/>
      <c r="C71" s="119"/>
      <c r="D71" s="119"/>
      <c r="E71" s="154"/>
      <c r="F71" s="45"/>
      <c r="P71" s="130"/>
      <c r="S71" s="130"/>
      <c r="T71" s="130"/>
      <c r="U71" s="130"/>
      <c r="V71" s="130"/>
      <c r="W71" s="130"/>
      <c r="Y71" s="130"/>
      <c r="Z71" s="130"/>
      <c r="AA71" s="130"/>
      <c r="AB71" s="130"/>
      <c r="AC71" s="130"/>
      <c r="AD71" s="130"/>
      <c r="AI71" s="166"/>
      <c r="AJ71" s="130"/>
      <c r="AK71" s="130"/>
      <c r="AL71" s="130"/>
      <c r="AM71" s="130"/>
      <c r="AN71" s="130"/>
      <c r="AP71" s="32"/>
      <c r="AR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</row>
    <row r="72" spans="1:58" x14ac:dyDescent="0.25">
      <c r="A72" s="148"/>
      <c r="B72" s="153"/>
      <c r="C72" s="119"/>
      <c r="D72" s="119"/>
      <c r="E72" s="154"/>
      <c r="F72" s="45"/>
      <c r="P72" s="130"/>
      <c r="S72" s="130"/>
      <c r="T72" s="130"/>
      <c r="U72" s="130"/>
      <c r="V72" s="130"/>
      <c r="W72" s="130"/>
      <c r="Y72" s="130"/>
      <c r="Z72" s="130"/>
      <c r="AA72" s="130"/>
      <c r="AB72" s="130"/>
      <c r="AC72" s="130"/>
      <c r="AD72" s="130"/>
      <c r="AI72" s="166"/>
      <c r="AJ72" s="130"/>
      <c r="AK72" s="130"/>
      <c r="AL72" s="130"/>
      <c r="AM72" s="130"/>
      <c r="AN72" s="130"/>
      <c r="AP72" s="32"/>
      <c r="AR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</row>
    <row r="73" spans="1:58" x14ac:dyDescent="0.25">
      <c r="A73" s="148"/>
      <c r="B73" s="153"/>
      <c r="C73" s="119"/>
      <c r="D73" s="119"/>
      <c r="E73" s="154"/>
      <c r="F73" s="45"/>
      <c r="P73" s="130"/>
      <c r="S73" s="130"/>
      <c r="T73" s="130"/>
      <c r="U73" s="130"/>
      <c r="V73" s="130"/>
      <c r="W73" s="130"/>
      <c r="Y73" s="130"/>
      <c r="Z73" s="130"/>
      <c r="AA73" s="130"/>
      <c r="AB73" s="130"/>
      <c r="AC73" s="130"/>
      <c r="AD73" s="130"/>
      <c r="AI73" s="166"/>
      <c r="AJ73" s="130"/>
      <c r="AK73" s="130"/>
      <c r="AL73" s="130"/>
      <c r="AM73" s="130"/>
      <c r="AN73" s="130"/>
      <c r="AP73" s="32"/>
      <c r="AR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</row>
    <row r="74" spans="1:58" x14ac:dyDescent="0.25">
      <c r="A74" s="148"/>
      <c r="B74" s="153"/>
      <c r="C74" s="119"/>
      <c r="D74" s="119"/>
      <c r="E74" s="154"/>
      <c r="F74" s="45"/>
      <c r="P74" s="130"/>
      <c r="S74" s="130"/>
      <c r="T74" s="130"/>
      <c r="U74" s="130"/>
      <c r="V74" s="130"/>
      <c r="W74" s="130"/>
      <c r="Y74" s="130"/>
      <c r="Z74" s="130"/>
      <c r="AA74" s="130"/>
      <c r="AB74" s="130"/>
      <c r="AC74" s="130"/>
      <c r="AD74" s="130"/>
      <c r="AI74" s="166"/>
      <c r="AJ74" s="130"/>
      <c r="AK74" s="130"/>
      <c r="AL74" s="130"/>
      <c r="AM74" s="130"/>
      <c r="AN74" s="130"/>
      <c r="AP74" s="32"/>
      <c r="AR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</row>
    <row r="75" spans="1:58" x14ac:dyDescent="0.25">
      <c r="A75" s="148"/>
      <c r="B75" s="153"/>
      <c r="C75" s="119"/>
      <c r="D75" s="119"/>
      <c r="E75" s="154"/>
      <c r="F75" s="45"/>
      <c r="P75" s="130"/>
      <c r="S75" s="130"/>
      <c r="T75" s="130"/>
      <c r="U75" s="130"/>
      <c r="V75" s="130"/>
      <c r="W75" s="130"/>
      <c r="Y75" s="130"/>
      <c r="Z75" s="130"/>
      <c r="AA75" s="130"/>
      <c r="AB75" s="130"/>
      <c r="AC75" s="130"/>
      <c r="AD75" s="130"/>
      <c r="AI75" s="166"/>
      <c r="AJ75" s="130"/>
      <c r="AK75" s="130"/>
      <c r="AL75" s="130"/>
      <c r="AM75" s="130"/>
      <c r="AN75" s="130"/>
      <c r="AP75" s="32"/>
      <c r="AR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</row>
    <row r="76" spans="1:58" x14ac:dyDescent="0.25">
      <c r="A76" s="148"/>
      <c r="B76" s="153"/>
      <c r="C76" s="119"/>
      <c r="D76" s="119"/>
      <c r="E76" s="154"/>
      <c r="F76" s="45"/>
      <c r="P76" s="130"/>
      <c r="S76" s="130"/>
      <c r="T76" s="130"/>
      <c r="U76" s="130"/>
      <c r="V76" s="130"/>
      <c r="W76" s="130"/>
      <c r="Y76" s="130"/>
      <c r="Z76" s="130"/>
      <c r="AA76" s="130"/>
      <c r="AB76" s="130"/>
      <c r="AC76" s="130"/>
      <c r="AD76" s="130"/>
      <c r="AI76" s="166"/>
      <c r="AJ76" s="130"/>
      <c r="AK76" s="130"/>
      <c r="AL76" s="130"/>
      <c r="AM76" s="130"/>
      <c r="AN76" s="130"/>
      <c r="AP76" s="32"/>
      <c r="AR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</row>
    <row r="77" spans="1:58" x14ac:dyDescent="0.25">
      <c r="A77" s="148"/>
      <c r="B77" s="153"/>
      <c r="C77" s="119"/>
      <c r="D77" s="119"/>
      <c r="E77" s="154"/>
      <c r="F77" s="45"/>
      <c r="P77" s="130"/>
      <c r="S77" s="130"/>
      <c r="T77" s="130"/>
      <c r="U77" s="130"/>
      <c r="V77" s="130"/>
      <c r="W77" s="130"/>
      <c r="Y77" s="130"/>
      <c r="Z77" s="130"/>
      <c r="AA77" s="130"/>
      <c r="AB77" s="130"/>
      <c r="AC77" s="130"/>
      <c r="AD77" s="130"/>
      <c r="AI77" s="166"/>
      <c r="AJ77" s="130"/>
      <c r="AK77" s="130"/>
      <c r="AL77" s="130"/>
      <c r="AM77" s="130"/>
      <c r="AN77" s="130"/>
      <c r="AP77" s="32"/>
      <c r="AR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</row>
    <row r="78" spans="1:58" x14ac:dyDescent="0.25">
      <c r="A78" s="148"/>
      <c r="B78" s="153"/>
      <c r="C78" s="119"/>
      <c r="D78" s="119"/>
      <c r="E78" s="154"/>
      <c r="F78" s="45"/>
      <c r="P78" s="130"/>
      <c r="S78" s="130"/>
      <c r="T78" s="130"/>
      <c r="U78" s="130"/>
      <c r="V78" s="130"/>
      <c r="W78" s="130"/>
      <c r="Y78" s="130"/>
      <c r="Z78" s="130"/>
      <c r="AA78" s="130"/>
      <c r="AB78" s="130"/>
      <c r="AC78" s="130"/>
      <c r="AD78" s="130"/>
      <c r="AI78" s="166"/>
      <c r="AJ78" s="130"/>
      <c r="AK78" s="130"/>
      <c r="AL78" s="130"/>
      <c r="AM78" s="130"/>
      <c r="AN78" s="130"/>
      <c r="AP78" s="32"/>
      <c r="AR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</row>
    <row r="79" spans="1:58" x14ac:dyDescent="0.25">
      <c r="A79" s="148"/>
      <c r="B79" s="153"/>
      <c r="C79" s="119"/>
      <c r="D79" s="119"/>
      <c r="E79" s="154"/>
      <c r="F79" s="45"/>
      <c r="P79" s="130"/>
      <c r="S79" s="130"/>
      <c r="T79" s="130"/>
      <c r="U79" s="130"/>
      <c r="V79" s="130"/>
      <c r="W79" s="130"/>
      <c r="Y79" s="130"/>
      <c r="Z79" s="130"/>
      <c r="AA79" s="130"/>
      <c r="AB79" s="130"/>
      <c r="AC79" s="130"/>
      <c r="AD79" s="130"/>
      <c r="AI79" s="166"/>
      <c r="AJ79" s="130"/>
      <c r="AK79" s="130"/>
      <c r="AL79" s="130"/>
      <c r="AM79" s="130"/>
      <c r="AN79" s="130"/>
      <c r="AP79" s="32"/>
      <c r="AR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</row>
    <row r="80" spans="1:58" x14ac:dyDescent="0.25">
      <c r="A80" s="148"/>
      <c r="B80" s="153"/>
      <c r="C80" s="119"/>
      <c r="D80" s="119"/>
      <c r="E80" s="154"/>
      <c r="F80" s="45"/>
      <c r="P80" s="130"/>
      <c r="S80" s="130"/>
      <c r="T80" s="130"/>
      <c r="U80" s="130"/>
      <c r="V80" s="130"/>
      <c r="W80" s="130"/>
      <c r="Y80" s="130"/>
      <c r="Z80" s="130"/>
      <c r="AA80" s="130"/>
      <c r="AB80" s="130"/>
      <c r="AC80" s="130"/>
      <c r="AD80" s="130"/>
      <c r="AI80" s="166"/>
      <c r="AJ80" s="130"/>
      <c r="AK80" s="130"/>
      <c r="AL80" s="130"/>
      <c r="AM80" s="130"/>
      <c r="AN80" s="130"/>
      <c r="AP80" s="32"/>
      <c r="AR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</row>
    <row r="81" spans="1:58" x14ac:dyDescent="0.25">
      <c r="A81" s="148"/>
      <c r="B81" s="153"/>
      <c r="C81" s="119"/>
      <c r="D81" s="119"/>
      <c r="E81" s="154"/>
      <c r="F81" s="45"/>
      <c r="P81" s="130"/>
      <c r="S81" s="130"/>
      <c r="T81" s="130"/>
      <c r="U81" s="130"/>
      <c r="V81" s="130"/>
      <c r="W81" s="130"/>
      <c r="Y81" s="130"/>
      <c r="Z81" s="130"/>
      <c r="AA81" s="130"/>
      <c r="AB81" s="130"/>
      <c r="AC81" s="130"/>
      <c r="AD81" s="130"/>
      <c r="AI81" s="166"/>
      <c r="AJ81" s="130"/>
      <c r="AK81" s="130"/>
      <c r="AL81" s="130"/>
      <c r="AM81" s="130"/>
      <c r="AN81" s="130"/>
      <c r="AP81" s="32"/>
      <c r="AR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</row>
    <row r="82" spans="1:58" x14ac:dyDescent="0.25">
      <c r="A82" s="148"/>
      <c r="B82" s="153"/>
      <c r="C82" s="119"/>
      <c r="D82" s="119"/>
      <c r="E82" s="154"/>
      <c r="F82" s="45"/>
      <c r="P82" s="130"/>
      <c r="S82" s="130"/>
      <c r="T82" s="130"/>
      <c r="U82" s="130"/>
      <c r="V82" s="130"/>
      <c r="W82" s="130"/>
      <c r="Y82" s="130"/>
      <c r="Z82" s="130"/>
      <c r="AA82" s="130"/>
      <c r="AB82" s="130"/>
      <c r="AC82" s="130"/>
      <c r="AD82" s="130"/>
      <c r="AI82" s="166"/>
      <c r="AJ82" s="130"/>
      <c r="AK82" s="130"/>
      <c r="AL82" s="130"/>
      <c r="AM82" s="130"/>
      <c r="AN82" s="130"/>
      <c r="AP82" s="32"/>
      <c r="AR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</row>
    <row r="83" spans="1:58" x14ac:dyDescent="0.25">
      <c r="A83" s="148"/>
      <c r="B83" s="153"/>
      <c r="C83" s="119"/>
      <c r="D83" s="119"/>
      <c r="E83" s="154"/>
      <c r="F83" s="45"/>
      <c r="P83" s="130"/>
      <c r="S83" s="130"/>
      <c r="T83" s="130"/>
      <c r="U83" s="130"/>
      <c r="V83" s="130"/>
      <c r="W83" s="130"/>
      <c r="Y83" s="130"/>
      <c r="Z83" s="130"/>
      <c r="AA83" s="130"/>
      <c r="AB83" s="130"/>
      <c r="AC83" s="130"/>
      <c r="AD83" s="130"/>
      <c r="AI83" s="166"/>
      <c r="AJ83" s="130"/>
      <c r="AK83" s="130"/>
      <c r="AL83" s="130"/>
      <c r="AM83" s="130"/>
      <c r="AN83" s="130"/>
      <c r="AP83" s="32"/>
      <c r="AR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</row>
    <row r="84" spans="1:58" x14ac:dyDescent="0.25">
      <c r="A84" s="148"/>
      <c r="B84" s="153"/>
      <c r="C84" s="119"/>
      <c r="D84" s="119"/>
      <c r="E84" s="154"/>
      <c r="F84" s="45"/>
      <c r="P84" s="130"/>
      <c r="S84" s="130"/>
      <c r="T84" s="130"/>
      <c r="U84" s="130"/>
      <c r="V84" s="130"/>
      <c r="W84" s="130"/>
      <c r="Y84" s="130"/>
      <c r="Z84" s="130"/>
      <c r="AA84" s="130"/>
      <c r="AB84" s="130"/>
      <c r="AC84" s="130"/>
      <c r="AD84" s="130"/>
      <c r="AI84" s="166"/>
      <c r="AJ84" s="130"/>
      <c r="AK84" s="130"/>
      <c r="AL84" s="130"/>
      <c r="AM84" s="130"/>
      <c r="AN84" s="130"/>
      <c r="AP84" s="32"/>
      <c r="AR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</row>
    <row r="85" spans="1:58" x14ac:dyDescent="0.25">
      <c r="A85" s="148"/>
      <c r="B85" s="153"/>
      <c r="C85" s="119"/>
      <c r="D85" s="119"/>
      <c r="E85" s="154"/>
      <c r="F85" s="45"/>
      <c r="P85" s="130"/>
      <c r="S85" s="130"/>
      <c r="T85" s="130"/>
      <c r="U85" s="130"/>
      <c r="V85" s="130"/>
      <c r="W85" s="130"/>
      <c r="Y85" s="130"/>
      <c r="Z85" s="130"/>
      <c r="AA85" s="130"/>
      <c r="AB85" s="130"/>
      <c r="AC85" s="130"/>
      <c r="AD85" s="130"/>
      <c r="AI85" s="166"/>
      <c r="AJ85" s="130"/>
      <c r="AK85" s="130"/>
      <c r="AL85" s="130"/>
      <c r="AM85" s="130"/>
      <c r="AN85" s="130"/>
      <c r="AP85" s="32"/>
      <c r="AR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</row>
    <row r="86" spans="1:58" x14ac:dyDescent="0.25">
      <c r="A86" s="148"/>
      <c r="B86" s="153"/>
      <c r="C86" s="119"/>
      <c r="D86" s="119"/>
      <c r="E86" s="154"/>
      <c r="F86" s="45"/>
      <c r="P86" s="130"/>
      <c r="S86" s="130"/>
      <c r="T86" s="130"/>
      <c r="U86" s="130"/>
      <c r="V86" s="130"/>
      <c r="W86" s="130"/>
      <c r="Y86" s="130"/>
      <c r="Z86" s="130"/>
      <c r="AA86" s="130"/>
      <c r="AB86" s="130"/>
      <c r="AC86" s="130"/>
      <c r="AD86" s="130"/>
      <c r="AI86" s="166"/>
      <c r="AJ86" s="130"/>
      <c r="AK86" s="130"/>
      <c r="AL86" s="130"/>
      <c r="AM86" s="130"/>
      <c r="AN86" s="130"/>
      <c r="AP86" s="32"/>
      <c r="AR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</row>
    <row r="87" spans="1:58" x14ac:dyDescent="0.25">
      <c r="A87" s="148"/>
      <c r="B87" s="153"/>
      <c r="C87" s="119"/>
      <c r="D87" s="119"/>
      <c r="E87" s="154"/>
      <c r="F87" s="45"/>
      <c r="P87" s="130"/>
      <c r="S87" s="130"/>
      <c r="T87" s="130"/>
      <c r="U87" s="130"/>
      <c r="V87" s="130"/>
      <c r="W87" s="130"/>
      <c r="Y87" s="130"/>
      <c r="Z87" s="130"/>
      <c r="AA87" s="130"/>
      <c r="AB87" s="130"/>
      <c r="AC87" s="130"/>
      <c r="AD87" s="130"/>
      <c r="AI87" s="166"/>
      <c r="AJ87" s="130"/>
      <c r="AK87" s="130"/>
      <c r="AL87" s="130"/>
      <c r="AM87" s="130"/>
      <c r="AN87" s="130"/>
      <c r="AP87" s="32"/>
      <c r="AR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</row>
    <row r="88" spans="1:58" x14ac:dyDescent="0.25">
      <c r="A88" s="148"/>
      <c r="B88" s="153"/>
      <c r="C88" s="119"/>
      <c r="D88" s="119"/>
      <c r="E88" s="154"/>
      <c r="F88" s="45"/>
      <c r="P88" s="130"/>
      <c r="S88" s="130"/>
      <c r="T88" s="130"/>
      <c r="U88" s="130"/>
      <c r="V88" s="130"/>
      <c r="W88" s="130"/>
      <c r="Y88" s="130"/>
      <c r="Z88" s="130"/>
      <c r="AA88" s="130"/>
      <c r="AB88" s="130"/>
      <c r="AC88" s="130"/>
      <c r="AD88" s="130"/>
      <c r="AI88" s="166"/>
      <c r="AJ88" s="130"/>
      <c r="AK88" s="130"/>
      <c r="AL88" s="130"/>
      <c r="AM88" s="130"/>
      <c r="AN88" s="130"/>
      <c r="AP88" s="32"/>
      <c r="AR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</row>
    <row r="89" spans="1:58" x14ac:dyDescent="0.25">
      <c r="A89" s="148"/>
      <c r="B89" s="153"/>
      <c r="C89" s="119"/>
      <c r="D89" s="119"/>
      <c r="E89" s="154"/>
      <c r="F89" s="45"/>
      <c r="P89" s="130"/>
      <c r="S89" s="130"/>
      <c r="T89" s="130"/>
      <c r="U89" s="130"/>
      <c r="V89" s="130"/>
      <c r="W89" s="130"/>
      <c r="Y89" s="130"/>
      <c r="Z89" s="130"/>
      <c r="AA89" s="130"/>
      <c r="AB89" s="130"/>
      <c r="AC89" s="130"/>
      <c r="AD89" s="130"/>
      <c r="AI89" s="166"/>
      <c r="AJ89" s="130"/>
      <c r="AK89" s="130"/>
      <c r="AL89" s="130"/>
      <c r="AM89" s="130"/>
      <c r="AN89" s="130"/>
      <c r="AP89" s="32"/>
      <c r="AR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</row>
    <row r="90" spans="1:58" x14ac:dyDescent="0.25">
      <c r="A90" s="148"/>
      <c r="B90" s="153"/>
      <c r="C90" s="119"/>
      <c r="D90" s="119"/>
      <c r="E90" s="154"/>
      <c r="F90" s="45"/>
      <c r="P90" s="130"/>
      <c r="S90" s="130"/>
      <c r="T90" s="130"/>
      <c r="U90" s="130"/>
      <c r="V90" s="130"/>
      <c r="W90" s="130"/>
      <c r="Y90" s="130"/>
      <c r="Z90" s="130"/>
      <c r="AA90" s="130"/>
      <c r="AB90" s="130"/>
      <c r="AC90" s="130"/>
      <c r="AD90" s="130"/>
      <c r="AI90" s="166"/>
      <c r="AJ90" s="130"/>
      <c r="AK90" s="130"/>
      <c r="AL90" s="130"/>
      <c r="AM90" s="130"/>
      <c r="AN90" s="130"/>
      <c r="AP90" s="32"/>
      <c r="AR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</row>
    <row r="91" spans="1:58" x14ac:dyDescent="0.25">
      <c r="A91" s="148"/>
      <c r="B91" s="153"/>
      <c r="C91" s="119"/>
      <c r="D91" s="119"/>
      <c r="E91" s="154"/>
      <c r="F91" s="45"/>
      <c r="P91" s="130"/>
      <c r="S91" s="130"/>
      <c r="T91" s="130"/>
      <c r="U91" s="130"/>
      <c r="V91" s="130"/>
      <c r="W91" s="130"/>
      <c r="Y91" s="130"/>
      <c r="Z91" s="130"/>
      <c r="AA91" s="130"/>
      <c r="AB91" s="130"/>
      <c r="AC91" s="130"/>
      <c r="AD91" s="130"/>
      <c r="AI91" s="166"/>
      <c r="AJ91" s="130"/>
      <c r="AK91" s="130"/>
      <c r="AL91" s="130"/>
      <c r="AM91" s="130"/>
      <c r="AN91" s="130"/>
      <c r="AP91" s="32"/>
      <c r="AR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</row>
    <row r="92" spans="1:58" x14ac:dyDescent="0.25">
      <c r="A92" s="148"/>
      <c r="B92" s="153"/>
      <c r="C92" s="119"/>
      <c r="D92" s="119"/>
      <c r="E92" s="154"/>
      <c r="F92" s="45"/>
      <c r="P92" s="130"/>
      <c r="S92" s="130"/>
      <c r="T92" s="130"/>
      <c r="U92" s="130"/>
      <c r="V92" s="130"/>
      <c r="W92" s="130"/>
      <c r="Y92" s="130"/>
      <c r="Z92" s="130"/>
      <c r="AA92" s="130"/>
      <c r="AB92" s="130"/>
      <c r="AC92" s="130"/>
      <c r="AD92" s="130"/>
      <c r="AI92" s="166"/>
      <c r="AJ92" s="130"/>
      <c r="AK92" s="130"/>
      <c r="AL92" s="130"/>
      <c r="AM92" s="130"/>
      <c r="AN92" s="130"/>
      <c r="AP92" s="32"/>
      <c r="AR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</row>
    <row r="93" spans="1:58" x14ac:dyDescent="0.25">
      <c r="A93" s="148"/>
      <c r="B93" s="153"/>
      <c r="C93" s="119"/>
      <c r="D93" s="119"/>
      <c r="E93" s="154"/>
      <c r="F93" s="45"/>
      <c r="P93" s="130"/>
      <c r="S93" s="130"/>
      <c r="T93" s="130"/>
      <c r="U93" s="130"/>
      <c r="V93" s="130"/>
      <c r="W93" s="130"/>
      <c r="Y93" s="130"/>
      <c r="Z93" s="130"/>
      <c r="AA93" s="130"/>
      <c r="AB93" s="130"/>
      <c r="AC93" s="130"/>
      <c r="AD93" s="130"/>
      <c r="AI93" s="166"/>
      <c r="AJ93" s="130"/>
      <c r="AK93" s="130"/>
      <c r="AL93" s="130"/>
      <c r="AM93" s="130"/>
      <c r="AN93" s="130"/>
      <c r="AP93" s="32"/>
      <c r="AR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</row>
    <row r="94" spans="1:58" x14ac:dyDescent="0.25">
      <c r="A94" s="148"/>
      <c r="B94" s="153"/>
      <c r="C94" s="119"/>
      <c r="D94" s="119"/>
      <c r="E94" s="154"/>
      <c r="F94" s="45"/>
      <c r="P94" s="130"/>
      <c r="S94" s="130"/>
      <c r="T94" s="130"/>
      <c r="U94" s="130"/>
      <c r="V94" s="130"/>
      <c r="W94" s="130"/>
      <c r="Y94" s="130"/>
      <c r="Z94" s="130"/>
      <c r="AA94" s="130"/>
      <c r="AB94" s="130"/>
      <c r="AC94" s="130"/>
      <c r="AD94" s="130"/>
      <c r="AI94" s="166"/>
      <c r="AJ94" s="130"/>
      <c r="AK94" s="130"/>
      <c r="AL94" s="130"/>
      <c r="AM94" s="130"/>
      <c r="AN94" s="130"/>
      <c r="AP94" s="32"/>
      <c r="AR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</row>
    <row r="95" spans="1:58" x14ac:dyDescent="0.25">
      <c r="A95" s="148"/>
      <c r="B95" s="153"/>
      <c r="C95" s="119"/>
      <c r="D95" s="119"/>
      <c r="E95" s="154"/>
      <c r="F95" s="45"/>
      <c r="P95" s="130"/>
      <c r="S95" s="130"/>
      <c r="T95" s="130"/>
      <c r="U95" s="130"/>
      <c r="V95" s="130"/>
      <c r="W95" s="130"/>
      <c r="Y95" s="130"/>
      <c r="Z95" s="130"/>
      <c r="AA95" s="130"/>
      <c r="AB95" s="130"/>
      <c r="AC95" s="130"/>
      <c r="AD95" s="130"/>
      <c r="AI95" s="166"/>
      <c r="AJ95" s="130"/>
      <c r="AK95" s="130"/>
      <c r="AL95" s="130"/>
      <c r="AM95" s="130"/>
      <c r="AN95" s="130"/>
      <c r="AP95" s="32"/>
      <c r="AR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</row>
    <row r="96" spans="1:58" x14ac:dyDescent="0.25">
      <c r="A96" s="148"/>
      <c r="B96" s="153"/>
      <c r="C96" s="119"/>
      <c r="D96" s="119"/>
      <c r="E96" s="154"/>
      <c r="F96" s="45"/>
      <c r="P96" s="130"/>
      <c r="S96" s="130"/>
      <c r="T96" s="130"/>
      <c r="U96" s="130"/>
      <c r="V96" s="130"/>
      <c r="W96" s="130"/>
      <c r="Y96" s="130"/>
      <c r="Z96" s="130"/>
      <c r="AA96" s="130"/>
      <c r="AB96" s="130"/>
      <c r="AC96" s="130"/>
      <c r="AD96" s="130"/>
      <c r="AI96" s="166"/>
      <c r="AJ96" s="130"/>
      <c r="AK96" s="130"/>
      <c r="AL96" s="130"/>
      <c r="AM96" s="130"/>
      <c r="AN96" s="130"/>
      <c r="AP96" s="32"/>
      <c r="AR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</row>
    <row r="97" spans="1:58" x14ac:dyDescent="0.25">
      <c r="A97" s="148"/>
      <c r="B97" s="153"/>
      <c r="C97" s="119"/>
      <c r="D97" s="119"/>
      <c r="E97" s="154"/>
      <c r="F97" s="45"/>
      <c r="P97" s="130"/>
      <c r="S97" s="130"/>
      <c r="T97" s="130"/>
      <c r="U97" s="130"/>
      <c r="V97" s="130"/>
      <c r="W97" s="130"/>
      <c r="Y97" s="130"/>
      <c r="Z97" s="130"/>
      <c r="AA97" s="130"/>
      <c r="AB97" s="130"/>
      <c r="AC97" s="130"/>
      <c r="AD97" s="130"/>
      <c r="AI97" s="166"/>
      <c r="AJ97" s="130"/>
      <c r="AK97" s="130"/>
      <c r="AL97" s="130"/>
      <c r="AM97" s="130"/>
      <c r="AN97" s="130"/>
      <c r="AP97" s="32"/>
      <c r="AR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</row>
    <row r="98" spans="1:58" x14ac:dyDescent="0.25">
      <c r="A98" s="148"/>
      <c r="B98" s="153"/>
      <c r="C98" s="119"/>
      <c r="D98" s="119"/>
      <c r="E98" s="154"/>
      <c r="F98" s="45"/>
      <c r="P98" s="130"/>
      <c r="S98" s="130"/>
      <c r="T98" s="130"/>
      <c r="U98" s="130"/>
      <c r="V98" s="130"/>
      <c r="W98" s="130"/>
      <c r="Y98" s="130"/>
      <c r="Z98" s="130"/>
      <c r="AA98" s="130"/>
      <c r="AB98" s="130"/>
      <c r="AC98" s="130"/>
      <c r="AD98" s="130"/>
      <c r="AI98" s="166"/>
      <c r="AJ98" s="130"/>
      <c r="AK98" s="130"/>
      <c r="AL98" s="130"/>
      <c r="AM98" s="130"/>
      <c r="AN98" s="130"/>
      <c r="AP98" s="32"/>
      <c r="AR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</row>
    <row r="99" spans="1:58" x14ac:dyDescent="0.25">
      <c r="A99" s="148"/>
      <c r="B99" s="153"/>
      <c r="C99" s="119"/>
      <c r="D99" s="119"/>
      <c r="E99" s="154"/>
      <c r="F99" s="45"/>
      <c r="P99" s="130"/>
      <c r="S99" s="130"/>
      <c r="T99" s="130"/>
      <c r="U99" s="130"/>
      <c r="V99" s="130"/>
      <c r="W99" s="130"/>
      <c r="Y99" s="130"/>
      <c r="Z99" s="130"/>
      <c r="AA99" s="130"/>
      <c r="AB99" s="130"/>
      <c r="AC99" s="130"/>
      <c r="AD99" s="130"/>
      <c r="AI99" s="166"/>
      <c r="AJ99" s="130"/>
      <c r="AK99" s="130"/>
      <c r="AL99" s="130"/>
      <c r="AM99" s="130"/>
      <c r="AN99" s="130"/>
      <c r="AP99" s="32"/>
      <c r="AR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</row>
    <row r="100" spans="1:58" x14ac:dyDescent="0.25">
      <c r="A100" s="148"/>
      <c r="B100" s="153"/>
      <c r="C100" s="119"/>
      <c r="D100" s="119"/>
      <c r="E100" s="154"/>
      <c r="F100" s="45"/>
      <c r="P100" s="130"/>
      <c r="S100" s="130"/>
      <c r="T100" s="130"/>
      <c r="U100" s="130"/>
      <c r="V100" s="130"/>
      <c r="W100" s="130"/>
      <c r="Y100" s="130"/>
      <c r="Z100" s="130"/>
      <c r="AA100" s="130"/>
      <c r="AB100" s="130"/>
      <c r="AC100" s="130"/>
      <c r="AD100" s="130"/>
      <c r="AI100" s="166"/>
      <c r="AJ100" s="130"/>
      <c r="AK100" s="130"/>
      <c r="AL100" s="130"/>
      <c r="AM100" s="130"/>
      <c r="AN100" s="130"/>
      <c r="AP100" s="32"/>
      <c r="AR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</row>
    <row r="101" spans="1:58" x14ac:dyDescent="0.25">
      <c r="A101" s="148"/>
      <c r="B101" s="153"/>
      <c r="C101" s="119"/>
      <c r="D101" s="119"/>
      <c r="E101" s="154"/>
      <c r="F101" s="45"/>
      <c r="P101" s="130"/>
      <c r="S101" s="130"/>
      <c r="T101" s="130"/>
      <c r="U101" s="130"/>
      <c r="V101" s="130"/>
      <c r="W101" s="130"/>
      <c r="Y101" s="130"/>
      <c r="Z101" s="130"/>
      <c r="AA101" s="130"/>
      <c r="AB101" s="130"/>
      <c r="AC101" s="130"/>
      <c r="AD101" s="130"/>
      <c r="AI101" s="166"/>
      <c r="AJ101" s="130"/>
      <c r="AK101" s="130"/>
      <c r="AL101" s="130"/>
      <c r="AM101" s="130"/>
      <c r="AN101" s="130"/>
      <c r="AP101" s="32"/>
      <c r="AR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</row>
    <row r="102" spans="1:58" x14ac:dyDescent="0.25">
      <c r="A102" s="148"/>
      <c r="B102" s="153"/>
      <c r="C102" s="119"/>
      <c r="D102" s="119"/>
      <c r="E102" s="154"/>
      <c r="F102" s="45"/>
      <c r="P102" s="130"/>
      <c r="S102" s="130"/>
      <c r="T102" s="130"/>
      <c r="U102" s="130"/>
      <c r="V102" s="130"/>
      <c r="W102" s="130"/>
      <c r="Y102" s="130"/>
      <c r="Z102" s="130"/>
      <c r="AA102" s="130"/>
      <c r="AB102" s="130"/>
      <c r="AC102" s="130"/>
      <c r="AD102" s="130"/>
      <c r="AI102" s="166"/>
      <c r="AJ102" s="130"/>
      <c r="AK102" s="130"/>
      <c r="AL102" s="130"/>
      <c r="AM102" s="130"/>
      <c r="AN102" s="130"/>
      <c r="AP102" s="32"/>
      <c r="AR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</row>
    <row r="103" spans="1:58" x14ac:dyDescent="0.25">
      <c r="A103" s="148"/>
      <c r="B103" s="153"/>
      <c r="C103" s="119"/>
      <c r="D103" s="119"/>
      <c r="E103" s="154"/>
      <c r="F103" s="45"/>
      <c r="P103" s="130"/>
      <c r="S103" s="130"/>
      <c r="T103" s="130"/>
      <c r="U103" s="130"/>
      <c r="V103" s="130"/>
      <c r="W103" s="130"/>
      <c r="Y103" s="130"/>
      <c r="Z103" s="130"/>
      <c r="AA103" s="130"/>
      <c r="AB103" s="130"/>
      <c r="AC103" s="130"/>
      <c r="AD103" s="130"/>
      <c r="AI103" s="166"/>
      <c r="AJ103" s="130"/>
      <c r="AK103" s="130"/>
      <c r="AL103" s="130"/>
      <c r="AM103" s="130"/>
      <c r="AN103" s="130"/>
      <c r="AP103" s="32"/>
      <c r="AR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</row>
    <row r="104" spans="1:58" x14ac:dyDescent="0.25">
      <c r="A104" s="148"/>
      <c r="B104" s="153"/>
      <c r="C104" s="119"/>
      <c r="D104" s="119"/>
      <c r="E104" s="154"/>
      <c r="F104" s="45"/>
      <c r="P104" s="130"/>
      <c r="S104" s="130"/>
      <c r="T104" s="130"/>
      <c r="U104" s="130"/>
      <c r="V104" s="130"/>
      <c r="W104" s="130"/>
      <c r="Y104" s="130"/>
      <c r="Z104" s="130"/>
      <c r="AA104" s="130"/>
      <c r="AB104" s="130"/>
      <c r="AC104" s="130"/>
      <c r="AD104" s="130"/>
      <c r="AI104" s="166"/>
      <c r="AJ104" s="130"/>
      <c r="AK104" s="130"/>
      <c r="AL104" s="130"/>
      <c r="AM104" s="130"/>
      <c r="AN104" s="130"/>
      <c r="AP104" s="32"/>
      <c r="AR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</row>
    <row r="105" spans="1:58" x14ac:dyDescent="0.25">
      <c r="A105" s="148"/>
      <c r="B105" s="153"/>
      <c r="C105" s="119"/>
      <c r="D105" s="119"/>
      <c r="E105" s="154"/>
      <c r="F105" s="45"/>
      <c r="P105" s="130"/>
      <c r="S105" s="130"/>
      <c r="T105" s="130"/>
      <c r="U105" s="130"/>
      <c r="V105" s="130"/>
      <c r="W105" s="130"/>
      <c r="Y105" s="130"/>
      <c r="Z105" s="130"/>
      <c r="AA105" s="130"/>
      <c r="AB105" s="130"/>
      <c r="AC105" s="130"/>
      <c r="AD105" s="130"/>
      <c r="AI105" s="166"/>
      <c r="AJ105" s="130"/>
      <c r="AK105" s="130"/>
      <c r="AL105" s="130"/>
      <c r="AM105" s="130"/>
      <c r="AN105" s="130"/>
      <c r="AP105" s="32"/>
      <c r="AR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</row>
    <row r="106" spans="1:58" x14ac:dyDescent="0.25">
      <c r="A106" s="148"/>
      <c r="B106" s="153"/>
      <c r="C106" s="119"/>
      <c r="D106" s="119"/>
      <c r="E106" s="154"/>
      <c r="F106" s="45"/>
      <c r="P106" s="130"/>
      <c r="S106" s="130"/>
      <c r="T106" s="130"/>
      <c r="U106" s="130"/>
      <c r="V106" s="130"/>
      <c r="W106" s="130"/>
      <c r="Y106" s="130"/>
      <c r="Z106" s="130"/>
      <c r="AA106" s="130"/>
      <c r="AB106" s="130"/>
      <c r="AC106" s="130"/>
      <c r="AD106" s="130"/>
      <c r="AI106" s="166"/>
      <c r="AJ106" s="130"/>
      <c r="AK106" s="130"/>
      <c r="AL106" s="130"/>
      <c r="AM106" s="130"/>
      <c r="AN106" s="130"/>
      <c r="AP106" s="32"/>
      <c r="AR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</row>
    <row r="107" spans="1:58" x14ac:dyDescent="0.25">
      <c r="A107" s="148"/>
      <c r="B107" s="153"/>
      <c r="C107" s="119"/>
      <c r="D107" s="119"/>
      <c r="E107" s="154"/>
      <c r="F107" s="45"/>
      <c r="P107" s="130"/>
      <c r="S107" s="130"/>
      <c r="T107" s="130"/>
      <c r="U107" s="130"/>
      <c r="V107" s="130"/>
      <c r="W107" s="130"/>
      <c r="Y107" s="130"/>
      <c r="Z107" s="130"/>
      <c r="AA107" s="130"/>
      <c r="AB107" s="130"/>
      <c r="AC107" s="130"/>
      <c r="AD107" s="130"/>
      <c r="AI107" s="166"/>
      <c r="AJ107" s="130"/>
      <c r="AK107" s="130"/>
      <c r="AL107" s="130"/>
      <c r="AM107" s="130"/>
      <c r="AN107" s="130"/>
      <c r="AP107" s="32"/>
      <c r="AR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</row>
    <row r="108" spans="1:58" x14ac:dyDescent="0.25">
      <c r="A108" s="148"/>
      <c r="B108" s="153"/>
      <c r="C108" s="119"/>
      <c r="D108" s="119"/>
      <c r="E108" s="154"/>
      <c r="F108" s="45"/>
      <c r="P108" s="130"/>
      <c r="S108" s="130"/>
      <c r="T108" s="130"/>
      <c r="U108" s="130"/>
      <c r="V108" s="130"/>
      <c r="W108" s="130"/>
      <c r="Y108" s="130"/>
      <c r="Z108" s="130"/>
      <c r="AA108" s="130"/>
      <c r="AB108" s="130"/>
      <c r="AC108" s="130"/>
      <c r="AD108" s="130"/>
      <c r="AI108" s="166"/>
      <c r="AJ108" s="130"/>
      <c r="AK108" s="130"/>
      <c r="AL108" s="130"/>
      <c r="AM108" s="130"/>
      <c r="AN108" s="130"/>
      <c r="AP108" s="32"/>
      <c r="AR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</row>
    <row r="109" spans="1:58" x14ac:dyDescent="0.25">
      <c r="A109" s="148"/>
      <c r="B109" s="153"/>
      <c r="C109" s="119"/>
      <c r="D109" s="119"/>
      <c r="E109" s="154"/>
      <c r="F109" s="45"/>
      <c r="P109" s="130"/>
      <c r="S109" s="130"/>
      <c r="T109" s="130"/>
      <c r="U109" s="130"/>
      <c r="V109" s="130"/>
      <c r="W109" s="130"/>
      <c r="Y109" s="130"/>
      <c r="Z109" s="130"/>
      <c r="AA109" s="130"/>
      <c r="AB109" s="130"/>
      <c r="AC109" s="130"/>
      <c r="AD109" s="130"/>
      <c r="AI109" s="166"/>
      <c r="AJ109" s="130"/>
      <c r="AK109" s="130"/>
      <c r="AL109" s="130"/>
      <c r="AM109" s="130"/>
      <c r="AN109" s="130"/>
      <c r="AP109" s="32"/>
      <c r="AR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</row>
    <row r="110" spans="1:58" x14ac:dyDescent="0.25">
      <c r="A110" s="148"/>
      <c r="B110" s="153"/>
      <c r="C110" s="119"/>
      <c r="D110" s="119"/>
      <c r="E110" s="154"/>
      <c r="F110" s="45"/>
      <c r="P110" s="130"/>
      <c r="S110" s="130"/>
      <c r="T110" s="130"/>
      <c r="U110" s="130"/>
      <c r="V110" s="130"/>
      <c r="W110" s="130"/>
      <c r="Y110" s="130"/>
      <c r="Z110" s="130"/>
      <c r="AA110" s="130"/>
      <c r="AB110" s="130"/>
      <c r="AC110" s="130"/>
      <c r="AD110" s="130"/>
      <c r="AI110" s="166"/>
      <c r="AJ110" s="130"/>
      <c r="AK110" s="130"/>
      <c r="AL110" s="130"/>
      <c r="AM110" s="130"/>
      <c r="AN110" s="130"/>
      <c r="AP110" s="32"/>
      <c r="AR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</row>
    <row r="111" spans="1:58" x14ac:dyDescent="0.25">
      <c r="A111" s="148"/>
      <c r="B111" s="153"/>
      <c r="C111" s="119"/>
      <c r="D111" s="119"/>
      <c r="E111" s="154"/>
      <c r="F111" s="45"/>
      <c r="P111" s="130"/>
      <c r="S111" s="130"/>
      <c r="T111" s="130"/>
      <c r="U111" s="130"/>
      <c r="V111" s="130"/>
      <c r="W111" s="130"/>
      <c r="Y111" s="130"/>
      <c r="Z111" s="130"/>
      <c r="AA111" s="130"/>
      <c r="AB111" s="130"/>
      <c r="AC111" s="130"/>
      <c r="AD111" s="130"/>
      <c r="AI111" s="166"/>
      <c r="AJ111" s="130"/>
      <c r="AK111" s="130"/>
      <c r="AL111" s="130"/>
      <c r="AM111" s="130"/>
      <c r="AN111" s="130"/>
      <c r="AP111" s="32"/>
      <c r="AR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</row>
    <row r="112" spans="1:58" x14ac:dyDescent="0.25">
      <c r="A112" s="148"/>
      <c r="B112" s="153"/>
      <c r="C112" s="119"/>
      <c r="D112" s="119"/>
      <c r="E112" s="154"/>
      <c r="F112" s="45"/>
      <c r="P112" s="130"/>
      <c r="S112" s="130"/>
      <c r="T112" s="130"/>
      <c r="U112" s="130"/>
      <c r="V112" s="130"/>
      <c r="W112" s="130"/>
      <c r="Y112" s="130"/>
      <c r="Z112" s="130"/>
      <c r="AA112" s="130"/>
      <c r="AB112" s="130"/>
      <c r="AC112" s="130"/>
      <c r="AD112" s="130"/>
      <c r="AI112" s="166"/>
      <c r="AJ112" s="130"/>
      <c r="AK112" s="130"/>
      <c r="AL112" s="130"/>
      <c r="AM112" s="130"/>
      <c r="AN112" s="130"/>
      <c r="AP112" s="32"/>
      <c r="AR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</row>
    <row r="113" spans="1:58" x14ac:dyDescent="0.25">
      <c r="A113" s="148"/>
      <c r="B113" s="153"/>
      <c r="C113" s="119"/>
      <c r="D113" s="119"/>
      <c r="E113" s="154"/>
      <c r="F113" s="45"/>
      <c r="P113" s="130"/>
      <c r="S113" s="130"/>
      <c r="T113" s="130"/>
      <c r="U113" s="130"/>
      <c r="V113" s="130"/>
      <c r="W113" s="130"/>
      <c r="Y113" s="130"/>
      <c r="Z113" s="130"/>
      <c r="AA113" s="130"/>
      <c r="AB113" s="130"/>
      <c r="AC113" s="130"/>
      <c r="AD113" s="130"/>
      <c r="AI113" s="166"/>
      <c r="AJ113" s="130"/>
      <c r="AK113" s="130"/>
      <c r="AL113" s="130"/>
      <c r="AM113" s="130"/>
      <c r="AN113" s="130"/>
      <c r="AP113" s="32"/>
      <c r="AR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</row>
    <row r="114" spans="1:58" x14ac:dyDescent="0.25">
      <c r="A114" s="148"/>
      <c r="B114" s="153"/>
      <c r="C114" s="119"/>
      <c r="D114" s="119"/>
      <c r="E114" s="154"/>
      <c r="F114" s="45"/>
      <c r="P114" s="130"/>
      <c r="S114" s="130"/>
      <c r="T114" s="130"/>
      <c r="U114" s="130"/>
      <c r="V114" s="130"/>
      <c r="W114" s="130"/>
      <c r="Y114" s="130"/>
      <c r="Z114" s="130"/>
      <c r="AA114" s="130"/>
      <c r="AB114" s="130"/>
      <c r="AC114" s="130"/>
      <c r="AD114" s="130"/>
      <c r="AI114" s="166"/>
      <c r="AJ114" s="130"/>
      <c r="AK114" s="130"/>
      <c r="AL114" s="130"/>
      <c r="AM114" s="130"/>
      <c r="AN114" s="130"/>
      <c r="AP114" s="32"/>
      <c r="AR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</row>
    <row r="115" spans="1:58" x14ac:dyDescent="0.25">
      <c r="A115" s="148"/>
      <c r="B115" s="153"/>
      <c r="C115" s="119"/>
      <c r="D115" s="119"/>
      <c r="E115" s="154"/>
      <c r="F115" s="45"/>
      <c r="P115" s="130"/>
      <c r="S115" s="130"/>
      <c r="T115" s="130"/>
      <c r="U115" s="130"/>
      <c r="V115" s="130"/>
      <c r="W115" s="130"/>
      <c r="Y115" s="130"/>
      <c r="Z115" s="130"/>
      <c r="AA115" s="130"/>
      <c r="AB115" s="130"/>
      <c r="AC115" s="130"/>
      <c r="AD115" s="130"/>
      <c r="AI115" s="166"/>
      <c r="AJ115" s="130"/>
      <c r="AK115" s="130"/>
      <c r="AL115" s="130"/>
      <c r="AM115" s="130"/>
      <c r="AN115" s="130"/>
      <c r="AP115" s="32"/>
      <c r="AR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</row>
    <row r="116" spans="1:58" x14ac:dyDescent="0.25">
      <c r="A116" s="148"/>
      <c r="B116" s="153"/>
      <c r="C116" s="119"/>
      <c r="D116" s="119"/>
      <c r="E116" s="154"/>
      <c r="F116" s="45"/>
      <c r="P116" s="130"/>
      <c r="S116" s="130"/>
      <c r="T116" s="130"/>
      <c r="U116" s="130"/>
      <c r="V116" s="130"/>
      <c r="W116" s="130"/>
      <c r="Y116" s="130"/>
      <c r="Z116" s="130"/>
      <c r="AA116" s="130"/>
      <c r="AB116" s="130"/>
      <c r="AC116" s="130"/>
      <c r="AD116" s="130"/>
      <c r="AI116" s="166"/>
      <c r="AJ116" s="130"/>
      <c r="AK116" s="130"/>
      <c r="AL116" s="130"/>
      <c r="AM116" s="130"/>
      <c r="AN116" s="130"/>
      <c r="AP116" s="32"/>
      <c r="AR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</row>
    <row r="117" spans="1:58" x14ac:dyDescent="0.25">
      <c r="A117" s="148"/>
      <c r="B117" s="153"/>
      <c r="C117" s="119"/>
      <c r="D117" s="119"/>
      <c r="E117" s="154"/>
      <c r="F117" s="45"/>
      <c r="P117" s="130"/>
      <c r="S117" s="130"/>
      <c r="T117" s="130"/>
      <c r="U117" s="130"/>
      <c r="V117" s="130"/>
      <c r="W117" s="130"/>
      <c r="Y117" s="130"/>
      <c r="Z117" s="130"/>
      <c r="AA117" s="130"/>
      <c r="AB117" s="130"/>
      <c r="AC117" s="130"/>
      <c r="AD117" s="130"/>
      <c r="AI117" s="166"/>
      <c r="AJ117" s="130"/>
      <c r="AK117" s="130"/>
      <c r="AL117" s="130"/>
      <c r="AM117" s="130"/>
      <c r="AN117" s="130"/>
      <c r="AP117" s="32"/>
      <c r="AR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</row>
    <row r="118" spans="1:58" x14ac:dyDescent="0.25">
      <c r="A118" s="148"/>
      <c r="B118" s="153"/>
      <c r="C118" s="119"/>
      <c r="D118" s="119"/>
      <c r="E118" s="154"/>
      <c r="F118" s="45"/>
      <c r="P118" s="130"/>
      <c r="S118" s="130"/>
      <c r="T118" s="130"/>
      <c r="U118" s="130"/>
      <c r="V118" s="130"/>
      <c r="W118" s="130"/>
      <c r="Y118" s="130"/>
      <c r="Z118" s="130"/>
      <c r="AA118" s="130"/>
      <c r="AB118" s="130"/>
      <c r="AC118" s="130"/>
      <c r="AD118" s="130"/>
      <c r="AI118" s="166"/>
      <c r="AJ118" s="130"/>
      <c r="AK118" s="130"/>
      <c r="AL118" s="130"/>
      <c r="AM118" s="130"/>
      <c r="AN118" s="130"/>
      <c r="AP118" s="32"/>
      <c r="AR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</row>
    <row r="119" spans="1:58" x14ac:dyDescent="0.25">
      <c r="A119" s="148"/>
      <c r="B119" s="153"/>
      <c r="C119" s="119"/>
      <c r="D119" s="119"/>
      <c r="E119" s="154"/>
      <c r="F119" s="45"/>
      <c r="P119" s="130"/>
      <c r="S119" s="130"/>
      <c r="T119" s="130"/>
      <c r="U119" s="130"/>
      <c r="V119" s="130"/>
      <c r="W119" s="130"/>
      <c r="Y119" s="130"/>
      <c r="Z119" s="130"/>
      <c r="AA119" s="130"/>
      <c r="AB119" s="130"/>
      <c r="AC119" s="130"/>
      <c r="AD119" s="130"/>
      <c r="AI119" s="166"/>
      <c r="AJ119" s="130"/>
      <c r="AK119" s="130"/>
      <c r="AL119" s="130"/>
      <c r="AM119" s="130"/>
      <c r="AN119" s="130"/>
      <c r="AP119" s="32"/>
      <c r="AR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</row>
    <row r="120" spans="1:58" x14ac:dyDescent="0.25">
      <c r="A120" s="148"/>
      <c r="B120" s="153"/>
      <c r="C120" s="119"/>
      <c r="D120" s="119"/>
      <c r="E120" s="154"/>
      <c r="F120" s="45"/>
      <c r="P120" s="130"/>
      <c r="S120" s="130"/>
      <c r="T120" s="130"/>
      <c r="U120" s="130"/>
      <c r="V120" s="130"/>
      <c r="W120" s="130"/>
      <c r="Y120" s="130"/>
      <c r="Z120" s="130"/>
      <c r="AA120" s="130"/>
      <c r="AB120" s="130"/>
      <c r="AC120" s="130"/>
      <c r="AD120" s="130"/>
      <c r="AI120" s="166"/>
      <c r="AJ120" s="130"/>
      <c r="AK120" s="130"/>
      <c r="AL120" s="130"/>
      <c r="AM120" s="130"/>
      <c r="AN120" s="130"/>
      <c r="AP120" s="32"/>
      <c r="AR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</row>
    <row r="121" spans="1:58" x14ac:dyDescent="0.25">
      <c r="A121" s="148"/>
      <c r="B121" s="153"/>
      <c r="C121" s="119"/>
      <c r="D121" s="119"/>
      <c r="E121" s="154"/>
      <c r="F121" s="45"/>
      <c r="P121" s="130"/>
      <c r="S121" s="130"/>
      <c r="T121" s="130"/>
      <c r="U121" s="130"/>
      <c r="V121" s="130"/>
      <c r="W121" s="130"/>
      <c r="Y121" s="130"/>
      <c r="Z121" s="130"/>
      <c r="AA121" s="130"/>
      <c r="AB121" s="130"/>
      <c r="AC121" s="130"/>
      <c r="AD121" s="130"/>
      <c r="AI121" s="166"/>
      <c r="AJ121" s="130"/>
      <c r="AK121" s="130"/>
      <c r="AL121" s="130"/>
      <c r="AM121" s="130"/>
      <c r="AN121" s="130"/>
      <c r="AP121" s="32"/>
      <c r="AR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</row>
    <row r="122" spans="1:58" x14ac:dyDescent="0.25">
      <c r="A122" s="148"/>
      <c r="B122" s="153"/>
      <c r="C122" s="119"/>
      <c r="D122" s="119"/>
      <c r="E122" s="154"/>
      <c r="F122" s="45"/>
      <c r="P122" s="130"/>
      <c r="S122" s="130"/>
      <c r="T122" s="130"/>
      <c r="U122" s="130"/>
      <c r="V122" s="130"/>
      <c r="W122" s="130"/>
      <c r="Y122" s="130"/>
      <c r="Z122" s="130"/>
      <c r="AA122" s="130"/>
      <c r="AB122" s="130"/>
      <c r="AC122" s="130"/>
      <c r="AD122" s="130"/>
      <c r="AI122" s="166"/>
      <c r="AJ122" s="130"/>
      <c r="AK122" s="130"/>
      <c r="AL122" s="130"/>
      <c r="AM122" s="130"/>
      <c r="AN122" s="130"/>
      <c r="AP122" s="32"/>
      <c r="AR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</row>
    <row r="123" spans="1:58" x14ac:dyDescent="0.25">
      <c r="A123" s="148"/>
      <c r="B123" s="153"/>
      <c r="C123" s="119"/>
      <c r="D123" s="119"/>
      <c r="E123" s="154"/>
      <c r="F123" s="45"/>
      <c r="P123" s="130"/>
      <c r="S123" s="130"/>
      <c r="T123" s="130"/>
      <c r="U123" s="130"/>
      <c r="V123" s="130"/>
      <c r="W123" s="130"/>
      <c r="Y123" s="130"/>
      <c r="Z123" s="130"/>
      <c r="AA123" s="130"/>
      <c r="AB123" s="130"/>
      <c r="AC123" s="130"/>
      <c r="AD123" s="130"/>
      <c r="AI123" s="166"/>
      <c r="AJ123" s="130"/>
      <c r="AK123" s="130"/>
      <c r="AL123" s="130"/>
      <c r="AM123" s="130"/>
      <c r="AN123" s="130"/>
      <c r="AP123" s="32"/>
      <c r="AR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</row>
    <row r="124" spans="1:58" x14ac:dyDescent="0.25">
      <c r="A124" s="148"/>
      <c r="B124" s="153"/>
      <c r="C124" s="119"/>
      <c r="D124" s="119"/>
      <c r="E124" s="154"/>
      <c r="F124" s="45"/>
      <c r="P124" s="130"/>
      <c r="S124" s="130"/>
      <c r="T124" s="130"/>
      <c r="U124" s="130"/>
      <c r="V124" s="130"/>
      <c r="W124" s="130"/>
      <c r="Y124" s="130"/>
      <c r="Z124" s="130"/>
      <c r="AA124" s="130"/>
      <c r="AB124" s="130"/>
      <c r="AC124" s="130"/>
      <c r="AD124" s="130"/>
      <c r="AI124" s="166"/>
      <c r="AJ124" s="130"/>
      <c r="AK124" s="130"/>
      <c r="AL124" s="130"/>
      <c r="AM124" s="130"/>
      <c r="AN124" s="130"/>
      <c r="AP124" s="32"/>
      <c r="AR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</row>
    <row r="125" spans="1:58" x14ac:dyDescent="0.25">
      <c r="A125" s="148"/>
      <c r="B125" s="153"/>
      <c r="C125" s="119"/>
      <c r="D125" s="119"/>
      <c r="E125" s="154"/>
      <c r="F125" s="45"/>
      <c r="P125" s="130"/>
      <c r="S125" s="130"/>
      <c r="T125" s="130"/>
      <c r="U125" s="130"/>
      <c r="V125" s="130"/>
      <c r="W125" s="130"/>
      <c r="Y125" s="130"/>
      <c r="Z125" s="130"/>
      <c r="AA125" s="130"/>
      <c r="AB125" s="130"/>
      <c r="AC125" s="130"/>
      <c r="AD125" s="130"/>
      <c r="AI125" s="166"/>
      <c r="AJ125" s="130"/>
      <c r="AK125" s="130"/>
      <c r="AL125" s="130"/>
      <c r="AM125" s="130"/>
      <c r="AN125" s="130"/>
      <c r="AP125" s="32"/>
      <c r="AR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</row>
    <row r="126" spans="1:58" x14ac:dyDescent="0.25">
      <c r="A126" s="148"/>
      <c r="B126" s="153"/>
      <c r="C126" s="119"/>
      <c r="D126" s="119"/>
      <c r="E126" s="154"/>
      <c r="F126" s="45"/>
      <c r="P126" s="130"/>
      <c r="S126" s="130"/>
      <c r="T126" s="130"/>
      <c r="U126" s="130"/>
      <c r="V126" s="130"/>
      <c r="W126" s="130"/>
      <c r="Y126" s="130"/>
      <c r="Z126" s="130"/>
      <c r="AA126" s="130"/>
      <c r="AB126" s="130"/>
      <c r="AC126" s="130"/>
      <c r="AD126" s="130"/>
      <c r="AI126" s="166"/>
      <c r="AJ126" s="130"/>
      <c r="AK126" s="130"/>
      <c r="AL126" s="130"/>
      <c r="AM126" s="130"/>
      <c r="AN126" s="130"/>
      <c r="AP126" s="32"/>
      <c r="AR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</row>
    <row r="127" spans="1:58" x14ac:dyDescent="0.25">
      <c r="A127" s="148"/>
      <c r="B127" s="153"/>
      <c r="C127" s="119"/>
      <c r="D127" s="119"/>
      <c r="E127" s="154"/>
      <c r="F127" s="45"/>
      <c r="P127" s="130"/>
      <c r="S127" s="130"/>
      <c r="T127" s="130"/>
      <c r="U127" s="130"/>
      <c r="V127" s="130"/>
      <c r="W127" s="130"/>
      <c r="Y127" s="130"/>
      <c r="Z127" s="130"/>
      <c r="AA127" s="130"/>
      <c r="AB127" s="130"/>
      <c r="AC127" s="130"/>
      <c r="AD127" s="130"/>
      <c r="AI127" s="166"/>
      <c r="AJ127" s="130"/>
      <c r="AK127" s="130"/>
      <c r="AL127" s="130"/>
      <c r="AM127" s="130"/>
      <c r="AN127" s="130"/>
      <c r="AP127" s="32"/>
      <c r="AR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</row>
    <row r="128" spans="1:58" x14ac:dyDescent="0.25">
      <c r="A128" s="148"/>
      <c r="B128" s="153"/>
      <c r="C128" s="119"/>
      <c r="D128" s="119"/>
      <c r="E128" s="154"/>
      <c r="F128" s="45"/>
      <c r="P128" s="130"/>
      <c r="S128" s="130"/>
      <c r="T128" s="130"/>
      <c r="U128" s="130"/>
      <c r="V128" s="130"/>
      <c r="W128" s="130"/>
      <c r="Y128" s="130"/>
      <c r="Z128" s="130"/>
      <c r="AA128" s="130"/>
      <c r="AB128" s="130"/>
      <c r="AC128" s="130"/>
      <c r="AD128" s="130"/>
      <c r="AI128" s="166"/>
      <c r="AJ128" s="130"/>
      <c r="AK128" s="130"/>
      <c r="AL128" s="130"/>
      <c r="AM128" s="130"/>
      <c r="AN128" s="130"/>
      <c r="AP128" s="32"/>
      <c r="AR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</row>
    <row r="129" spans="1:58" x14ac:dyDescent="0.25">
      <c r="A129" s="148"/>
      <c r="B129" s="153"/>
      <c r="C129" s="119"/>
      <c r="D129" s="119"/>
      <c r="E129" s="154"/>
      <c r="F129" s="45"/>
      <c r="P129" s="130"/>
      <c r="S129" s="130"/>
      <c r="T129" s="130"/>
      <c r="U129" s="130"/>
      <c r="V129" s="130"/>
      <c r="W129" s="130"/>
      <c r="Y129" s="130"/>
      <c r="Z129" s="130"/>
      <c r="AA129" s="130"/>
      <c r="AB129" s="130"/>
      <c r="AC129" s="130"/>
      <c r="AD129" s="130"/>
      <c r="AI129" s="166"/>
      <c r="AJ129" s="130"/>
      <c r="AK129" s="130"/>
      <c r="AL129" s="130"/>
      <c r="AM129" s="130"/>
      <c r="AN129" s="130"/>
      <c r="AP129" s="32"/>
      <c r="AR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</row>
    <row r="130" spans="1:58" x14ac:dyDescent="0.25">
      <c r="A130" s="148"/>
      <c r="B130" s="153"/>
      <c r="C130" s="119"/>
      <c r="D130" s="119"/>
      <c r="E130" s="154"/>
      <c r="F130" s="45"/>
      <c r="P130" s="130"/>
      <c r="S130" s="130"/>
      <c r="T130" s="130"/>
      <c r="U130" s="130"/>
      <c r="V130" s="130"/>
      <c r="W130" s="130"/>
      <c r="Y130" s="130"/>
      <c r="Z130" s="130"/>
      <c r="AA130" s="130"/>
      <c r="AB130" s="130"/>
      <c r="AC130" s="130"/>
      <c r="AD130" s="130"/>
      <c r="AI130" s="166"/>
      <c r="AJ130" s="130"/>
      <c r="AK130" s="130"/>
      <c r="AL130" s="130"/>
      <c r="AM130" s="130"/>
      <c r="AN130" s="130"/>
      <c r="AP130" s="32"/>
      <c r="AR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</row>
    <row r="131" spans="1:58" x14ac:dyDescent="0.25">
      <c r="A131" s="148"/>
      <c r="B131" s="153"/>
      <c r="C131" s="119"/>
      <c r="D131" s="119"/>
      <c r="E131" s="154"/>
      <c r="F131" s="45"/>
      <c r="P131" s="130"/>
      <c r="S131" s="130"/>
      <c r="T131" s="130"/>
      <c r="U131" s="130"/>
      <c r="V131" s="130"/>
      <c r="W131" s="130"/>
      <c r="Y131" s="130"/>
      <c r="Z131" s="130"/>
      <c r="AA131" s="130"/>
      <c r="AB131" s="130"/>
      <c r="AC131" s="130"/>
      <c r="AD131" s="130"/>
      <c r="AI131" s="166"/>
      <c r="AJ131" s="130"/>
      <c r="AK131" s="130"/>
      <c r="AL131" s="130"/>
      <c r="AM131" s="130"/>
      <c r="AN131" s="130"/>
      <c r="AP131" s="32"/>
      <c r="AR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</row>
    <row r="132" spans="1:58" x14ac:dyDescent="0.25">
      <c r="A132" s="148"/>
      <c r="B132" s="153"/>
      <c r="C132" s="119"/>
      <c r="D132" s="119"/>
      <c r="E132" s="154"/>
      <c r="F132" s="45"/>
      <c r="P132" s="130"/>
      <c r="S132" s="130"/>
      <c r="T132" s="130"/>
      <c r="U132" s="130"/>
      <c r="V132" s="130"/>
      <c r="W132" s="130"/>
      <c r="Y132" s="130"/>
      <c r="Z132" s="130"/>
      <c r="AA132" s="130"/>
      <c r="AB132" s="130"/>
      <c r="AC132" s="130"/>
      <c r="AD132" s="130"/>
      <c r="AI132" s="166"/>
      <c r="AJ132" s="130"/>
      <c r="AK132" s="130"/>
      <c r="AL132" s="130"/>
      <c r="AM132" s="130"/>
      <c r="AN132" s="130"/>
      <c r="AP132" s="32"/>
      <c r="AR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</row>
    <row r="133" spans="1:58" x14ac:dyDescent="0.25">
      <c r="A133" s="148"/>
      <c r="B133" s="153"/>
      <c r="C133" s="119"/>
      <c r="D133" s="119"/>
      <c r="E133" s="154"/>
      <c r="F133" s="45"/>
      <c r="P133" s="130"/>
      <c r="S133" s="130"/>
      <c r="T133" s="130"/>
      <c r="U133" s="130"/>
      <c r="V133" s="130"/>
      <c r="W133" s="130"/>
      <c r="Y133" s="130"/>
      <c r="Z133" s="130"/>
      <c r="AA133" s="130"/>
      <c r="AB133" s="130"/>
      <c r="AC133" s="130"/>
      <c r="AD133" s="130"/>
      <c r="AI133" s="166"/>
      <c r="AJ133" s="130"/>
      <c r="AK133" s="130"/>
      <c r="AL133" s="130"/>
      <c r="AM133" s="130"/>
      <c r="AN133" s="130"/>
      <c r="AP133" s="32"/>
      <c r="AR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</row>
    <row r="134" spans="1:58" x14ac:dyDescent="0.25">
      <c r="A134" s="148"/>
      <c r="B134" s="153"/>
      <c r="C134" s="119"/>
      <c r="D134" s="119"/>
      <c r="E134" s="154"/>
      <c r="F134" s="45"/>
      <c r="P134" s="130"/>
      <c r="S134" s="130"/>
      <c r="T134" s="130"/>
      <c r="U134" s="130"/>
      <c r="V134" s="130"/>
      <c r="W134" s="130"/>
      <c r="Y134" s="130"/>
      <c r="Z134" s="130"/>
      <c r="AA134" s="130"/>
      <c r="AB134" s="130"/>
      <c r="AC134" s="130"/>
      <c r="AD134" s="130"/>
      <c r="AI134" s="166"/>
      <c r="AJ134" s="130"/>
      <c r="AK134" s="130"/>
      <c r="AL134" s="130"/>
      <c r="AM134" s="130"/>
      <c r="AN134" s="130"/>
      <c r="AP134" s="32"/>
      <c r="AR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</row>
    <row r="135" spans="1:58" x14ac:dyDescent="0.25">
      <c r="A135" s="148"/>
      <c r="B135" s="153"/>
      <c r="C135" s="119"/>
      <c r="D135" s="119"/>
      <c r="E135" s="154"/>
      <c r="F135" s="45"/>
      <c r="P135" s="130"/>
      <c r="S135" s="130"/>
      <c r="T135" s="130"/>
      <c r="U135" s="130"/>
      <c r="V135" s="130"/>
      <c r="W135" s="130"/>
      <c r="Y135" s="130"/>
      <c r="Z135" s="130"/>
      <c r="AA135" s="130"/>
      <c r="AB135" s="130"/>
      <c r="AC135" s="130"/>
      <c r="AD135" s="130"/>
      <c r="AI135" s="166"/>
      <c r="AJ135" s="130"/>
      <c r="AK135" s="130"/>
      <c r="AL135" s="130"/>
      <c r="AM135" s="130"/>
      <c r="AN135" s="130"/>
      <c r="AP135" s="32"/>
      <c r="AR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</row>
    <row r="136" spans="1:58" x14ac:dyDescent="0.25">
      <c r="A136" s="148"/>
      <c r="B136" s="153"/>
      <c r="C136" s="119"/>
      <c r="D136" s="119"/>
      <c r="E136" s="154"/>
      <c r="F136" s="45"/>
      <c r="P136" s="130"/>
      <c r="S136" s="130"/>
      <c r="T136" s="130"/>
      <c r="U136" s="130"/>
      <c r="V136" s="130"/>
      <c r="W136" s="130"/>
      <c r="Y136" s="130"/>
      <c r="Z136" s="130"/>
      <c r="AA136" s="130"/>
      <c r="AB136" s="130"/>
      <c r="AC136" s="130"/>
      <c r="AD136" s="130"/>
      <c r="AI136" s="166"/>
      <c r="AJ136" s="130"/>
      <c r="AK136" s="130"/>
      <c r="AL136" s="130"/>
      <c r="AM136" s="130"/>
      <c r="AN136" s="130"/>
      <c r="AP136" s="32"/>
      <c r="AR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</row>
    <row r="137" spans="1:58" x14ac:dyDescent="0.25">
      <c r="A137" s="148"/>
      <c r="B137" s="153"/>
      <c r="C137" s="119"/>
      <c r="D137" s="119"/>
      <c r="E137" s="154"/>
      <c r="F137" s="45"/>
      <c r="P137" s="130"/>
      <c r="S137" s="130"/>
      <c r="T137" s="130"/>
      <c r="U137" s="130"/>
      <c r="V137" s="130"/>
      <c r="W137" s="130"/>
      <c r="Y137" s="130"/>
      <c r="Z137" s="130"/>
      <c r="AA137" s="130"/>
      <c r="AB137" s="130"/>
      <c r="AC137" s="130"/>
      <c r="AD137" s="130"/>
      <c r="AI137" s="166"/>
      <c r="AJ137" s="130"/>
      <c r="AK137" s="130"/>
      <c r="AL137" s="130"/>
      <c r="AM137" s="130"/>
      <c r="AN137" s="130"/>
      <c r="AP137" s="32"/>
      <c r="AR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</row>
    <row r="138" spans="1:58" x14ac:dyDescent="0.25">
      <c r="A138" s="148"/>
      <c r="B138" s="153"/>
      <c r="C138" s="119"/>
      <c r="D138" s="119"/>
      <c r="E138" s="154"/>
      <c r="F138" s="45"/>
      <c r="P138" s="130"/>
      <c r="S138" s="130"/>
      <c r="T138" s="130"/>
      <c r="U138" s="130"/>
      <c r="V138" s="130"/>
      <c r="W138" s="130"/>
      <c r="Y138" s="130"/>
      <c r="Z138" s="130"/>
      <c r="AA138" s="130"/>
      <c r="AB138" s="130"/>
      <c r="AC138" s="130"/>
      <c r="AD138" s="130"/>
      <c r="AI138" s="166"/>
      <c r="AJ138" s="130"/>
      <c r="AK138" s="130"/>
      <c r="AL138" s="130"/>
      <c r="AM138" s="130"/>
      <c r="AN138" s="130"/>
      <c r="AP138" s="32"/>
      <c r="AR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</row>
    <row r="139" spans="1:58" x14ac:dyDescent="0.25">
      <c r="A139" s="148"/>
      <c r="B139" s="153"/>
      <c r="C139" s="119"/>
      <c r="D139" s="119"/>
      <c r="E139" s="154"/>
      <c r="F139" s="45"/>
      <c r="P139" s="130"/>
      <c r="S139" s="130"/>
      <c r="T139" s="130"/>
      <c r="U139" s="130"/>
      <c r="V139" s="130"/>
      <c r="W139" s="130"/>
      <c r="Y139" s="130"/>
      <c r="Z139" s="130"/>
      <c r="AA139" s="130"/>
      <c r="AB139" s="130"/>
      <c r="AC139" s="130"/>
      <c r="AD139" s="130"/>
      <c r="AI139" s="166"/>
      <c r="AJ139" s="130"/>
      <c r="AK139" s="130"/>
      <c r="AL139" s="130"/>
      <c r="AM139" s="130"/>
      <c r="AN139" s="130"/>
      <c r="AP139" s="32"/>
      <c r="AR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</row>
    <row r="140" spans="1:58" x14ac:dyDescent="0.25">
      <c r="A140" s="148"/>
      <c r="B140" s="153"/>
      <c r="C140" s="119"/>
      <c r="D140" s="119"/>
      <c r="E140" s="154"/>
      <c r="F140" s="45"/>
      <c r="P140" s="130"/>
      <c r="S140" s="130"/>
      <c r="T140" s="130"/>
      <c r="U140" s="130"/>
      <c r="V140" s="130"/>
      <c r="W140" s="130"/>
      <c r="Y140" s="130"/>
      <c r="Z140" s="130"/>
      <c r="AA140" s="130"/>
      <c r="AB140" s="130"/>
      <c r="AC140" s="130"/>
      <c r="AD140" s="130"/>
      <c r="AI140" s="166"/>
      <c r="AJ140" s="130"/>
      <c r="AK140" s="130"/>
      <c r="AL140" s="130"/>
      <c r="AM140" s="130"/>
      <c r="AN140" s="130"/>
      <c r="AP140" s="32"/>
      <c r="AR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</row>
    <row r="141" spans="1:58" x14ac:dyDescent="0.25">
      <c r="A141" s="148"/>
      <c r="B141" s="153"/>
      <c r="C141" s="119"/>
      <c r="D141" s="119"/>
      <c r="E141" s="154"/>
      <c r="F141" s="45"/>
      <c r="P141" s="130"/>
      <c r="S141" s="130"/>
      <c r="T141" s="130"/>
      <c r="U141" s="130"/>
      <c r="V141" s="130"/>
      <c r="W141" s="130"/>
      <c r="Y141" s="130"/>
      <c r="Z141" s="130"/>
      <c r="AA141" s="130"/>
      <c r="AB141" s="130"/>
      <c r="AC141" s="130"/>
      <c r="AD141" s="130"/>
      <c r="AI141" s="166"/>
      <c r="AJ141" s="130"/>
      <c r="AK141" s="130"/>
      <c r="AL141" s="130"/>
      <c r="AM141" s="130"/>
      <c r="AN141" s="130"/>
      <c r="AP141" s="32"/>
      <c r="AR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</row>
    <row r="142" spans="1:58" x14ac:dyDescent="0.25">
      <c r="A142" s="148"/>
      <c r="B142" s="153"/>
      <c r="C142" s="119"/>
      <c r="D142" s="119"/>
      <c r="E142" s="154"/>
      <c r="F142" s="45"/>
      <c r="P142" s="130"/>
      <c r="S142" s="130"/>
      <c r="T142" s="130"/>
      <c r="U142" s="130"/>
      <c r="V142" s="130"/>
      <c r="W142" s="130"/>
      <c r="Y142" s="130"/>
      <c r="Z142" s="130"/>
      <c r="AA142" s="130"/>
      <c r="AB142" s="130"/>
      <c r="AC142" s="130"/>
      <c r="AD142" s="130"/>
      <c r="AI142" s="166"/>
      <c r="AJ142" s="130"/>
      <c r="AK142" s="130"/>
      <c r="AL142" s="130"/>
      <c r="AM142" s="130"/>
      <c r="AN142" s="130"/>
      <c r="AP142" s="32"/>
      <c r="AR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</row>
    <row r="143" spans="1:58" x14ac:dyDescent="0.25">
      <c r="A143" s="148"/>
      <c r="B143" s="153"/>
      <c r="C143" s="119"/>
      <c r="D143" s="119"/>
      <c r="E143" s="154"/>
      <c r="F143" s="45"/>
      <c r="P143" s="130"/>
      <c r="S143" s="130"/>
      <c r="T143" s="130"/>
      <c r="U143" s="130"/>
      <c r="V143" s="130"/>
      <c r="W143" s="130"/>
      <c r="Y143" s="130"/>
      <c r="Z143" s="130"/>
      <c r="AA143" s="130"/>
      <c r="AB143" s="130"/>
      <c r="AC143" s="130"/>
      <c r="AD143" s="130"/>
      <c r="AI143" s="166"/>
      <c r="AJ143" s="130"/>
      <c r="AK143" s="130"/>
      <c r="AL143" s="130"/>
      <c r="AM143" s="130"/>
      <c r="AN143" s="130"/>
      <c r="AP143" s="32"/>
      <c r="AR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</row>
    <row r="144" spans="1:58" x14ac:dyDescent="0.25">
      <c r="A144" s="148"/>
      <c r="B144" s="153"/>
      <c r="C144" s="119"/>
      <c r="D144" s="119"/>
      <c r="E144" s="154"/>
      <c r="F144" s="45"/>
      <c r="P144" s="130"/>
      <c r="S144" s="130"/>
      <c r="T144" s="130"/>
      <c r="U144" s="130"/>
      <c r="V144" s="130"/>
      <c r="W144" s="130"/>
      <c r="Y144" s="130"/>
      <c r="Z144" s="130"/>
      <c r="AA144" s="130"/>
      <c r="AB144" s="130"/>
      <c r="AC144" s="130"/>
      <c r="AD144" s="130"/>
      <c r="AI144" s="166"/>
      <c r="AJ144" s="130"/>
      <c r="AK144" s="130"/>
      <c r="AL144" s="130"/>
      <c r="AM144" s="130"/>
      <c r="AN144" s="130"/>
      <c r="AP144" s="32"/>
      <c r="AR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</row>
    <row r="145" spans="1:58" x14ac:dyDescent="0.25">
      <c r="A145" s="148"/>
      <c r="B145" s="153"/>
      <c r="C145" s="119"/>
      <c r="D145" s="119"/>
      <c r="E145" s="154"/>
      <c r="F145" s="45"/>
      <c r="P145" s="130"/>
      <c r="S145" s="130"/>
      <c r="T145" s="130"/>
      <c r="U145" s="130"/>
      <c r="V145" s="130"/>
      <c r="W145" s="130"/>
      <c r="Y145" s="130"/>
      <c r="Z145" s="130"/>
      <c r="AA145" s="130"/>
      <c r="AB145" s="130"/>
      <c r="AC145" s="130"/>
      <c r="AD145" s="130"/>
      <c r="AI145" s="166"/>
      <c r="AJ145" s="130"/>
      <c r="AK145" s="130"/>
      <c r="AL145" s="130"/>
      <c r="AM145" s="130"/>
      <c r="AN145" s="130"/>
      <c r="AP145" s="32"/>
      <c r="AR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</row>
    <row r="146" spans="1:58" x14ac:dyDescent="0.25">
      <c r="A146" s="148"/>
      <c r="B146" s="153"/>
      <c r="C146" s="119"/>
      <c r="D146" s="119"/>
      <c r="E146" s="154"/>
      <c r="F146" s="45"/>
      <c r="P146" s="130"/>
      <c r="S146" s="130"/>
      <c r="T146" s="130"/>
      <c r="U146" s="130"/>
      <c r="V146" s="130"/>
      <c r="W146" s="130"/>
      <c r="Y146" s="130"/>
      <c r="Z146" s="130"/>
      <c r="AA146" s="130"/>
      <c r="AB146" s="130"/>
      <c r="AC146" s="130"/>
      <c r="AD146" s="130"/>
      <c r="AI146" s="166"/>
      <c r="AJ146" s="130"/>
      <c r="AK146" s="130"/>
      <c r="AL146" s="130"/>
      <c r="AM146" s="130"/>
      <c r="AN146" s="130"/>
      <c r="AP146" s="32"/>
      <c r="AR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</row>
    <row r="147" spans="1:58" x14ac:dyDescent="0.25">
      <c r="A147" s="148"/>
      <c r="B147" s="153"/>
      <c r="C147" s="119"/>
      <c r="D147" s="119"/>
      <c r="E147" s="154"/>
      <c r="F147" s="45"/>
      <c r="P147" s="130"/>
      <c r="S147" s="130"/>
      <c r="T147" s="130"/>
      <c r="U147" s="130"/>
      <c r="V147" s="130"/>
      <c r="W147" s="130"/>
      <c r="Y147" s="130"/>
      <c r="Z147" s="130"/>
      <c r="AA147" s="130"/>
      <c r="AB147" s="130"/>
      <c r="AC147" s="130"/>
      <c r="AD147" s="130"/>
      <c r="AI147" s="166"/>
      <c r="AJ147" s="130"/>
      <c r="AK147" s="130"/>
      <c r="AL147" s="130"/>
      <c r="AM147" s="130"/>
      <c r="AN147" s="130"/>
      <c r="AP147" s="32"/>
      <c r="AR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</row>
    <row r="148" spans="1:58" x14ac:dyDescent="0.25">
      <c r="A148" s="148"/>
      <c r="B148" s="153"/>
      <c r="C148" s="119"/>
      <c r="D148" s="119"/>
      <c r="E148" s="154"/>
      <c r="F148" s="45"/>
      <c r="P148" s="130"/>
      <c r="S148" s="130"/>
      <c r="T148" s="130"/>
      <c r="U148" s="130"/>
      <c r="V148" s="130"/>
      <c r="W148" s="130"/>
      <c r="Y148" s="130"/>
      <c r="Z148" s="130"/>
      <c r="AA148" s="130"/>
      <c r="AB148" s="130"/>
      <c r="AC148" s="130"/>
      <c r="AD148" s="130"/>
      <c r="AI148" s="166"/>
      <c r="AJ148" s="130"/>
      <c r="AK148" s="130"/>
      <c r="AL148" s="130"/>
      <c r="AM148" s="130"/>
      <c r="AN148" s="130"/>
      <c r="AP148" s="32"/>
      <c r="AR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</row>
    <row r="149" spans="1:58" x14ac:dyDescent="0.25">
      <c r="A149" s="148"/>
      <c r="B149" s="153"/>
      <c r="C149" s="119"/>
      <c r="D149" s="119"/>
      <c r="E149" s="154"/>
      <c r="F149" s="45"/>
      <c r="P149" s="130"/>
      <c r="S149" s="130"/>
      <c r="T149" s="130"/>
      <c r="U149" s="130"/>
      <c r="V149" s="130"/>
      <c r="W149" s="130"/>
      <c r="Y149" s="130"/>
      <c r="Z149" s="130"/>
      <c r="AA149" s="130"/>
      <c r="AB149" s="130"/>
      <c r="AC149" s="130"/>
      <c r="AD149" s="130"/>
      <c r="AI149" s="166"/>
      <c r="AJ149" s="130"/>
      <c r="AK149" s="130"/>
      <c r="AL149" s="130"/>
      <c r="AM149" s="130"/>
      <c r="AN149" s="130"/>
      <c r="AP149" s="32"/>
      <c r="AR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</row>
    <row r="150" spans="1:58" x14ac:dyDescent="0.25">
      <c r="A150" s="148"/>
      <c r="B150" s="153"/>
      <c r="C150" s="119"/>
      <c r="D150" s="119"/>
      <c r="E150" s="154"/>
      <c r="F150" s="45"/>
      <c r="P150" s="130"/>
      <c r="S150" s="130"/>
      <c r="T150" s="130"/>
      <c r="U150" s="130"/>
      <c r="V150" s="130"/>
      <c r="W150" s="130"/>
      <c r="Y150" s="130"/>
      <c r="Z150" s="130"/>
      <c r="AA150" s="130"/>
      <c r="AB150" s="130"/>
      <c r="AC150" s="130"/>
      <c r="AD150" s="130"/>
      <c r="AI150" s="166"/>
      <c r="AJ150" s="130"/>
      <c r="AK150" s="130"/>
      <c r="AL150" s="130"/>
      <c r="AM150" s="130"/>
      <c r="AN150" s="130"/>
      <c r="AP150" s="32"/>
      <c r="AR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</row>
    <row r="151" spans="1:58" x14ac:dyDescent="0.25">
      <c r="A151" s="148"/>
      <c r="B151" s="153"/>
      <c r="C151" s="119"/>
      <c r="D151" s="119"/>
      <c r="E151" s="154"/>
      <c r="F151" s="45"/>
      <c r="P151" s="130"/>
      <c r="S151" s="130"/>
      <c r="T151" s="130"/>
      <c r="U151" s="130"/>
      <c r="V151" s="130"/>
      <c r="W151" s="130"/>
      <c r="Y151" s="130"/>
      <c r="Z151" s="130"/>
      <c r="AA151" s="130"/>
      <c r="AB151" s="130"/>
      <c r="AC151" s="130"/>
      <c r="AD151" s="130"/>
      <c r="AI151" s="166"/>
      <c r="AJ151" s="130"/>
      <c r="AK151" s="130"/>
      <c r="AL151" s="130"/>
      <c r="AM151" s="130"/>
      <c r="AN151" s="130"/>
      <c r="AP151" s="32"/>
      <c r="AR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</row>
    <row r="152" spans="1:58" x14ac:dyDescent="0.25">
      <c r="A152" s="148"/>
      <c r="B152" s="153"/>
      <c r="C152" s="119"/>
      <c r="D152" s="119"/>
      <c r="E152" s="154"/>
      <c r="F152" s="45"/>
      <c r="P152" s="130"/>
      <c r="S152" s="130"/>
      <c r="T152" s="130"/>
      <c r="U152" s="130"/>
      <c r="V152" s="130"/>
      <c r="W152" s="130"/>
      <c r="Y152" s="130"/>
      <c r="Z152" s="130"/>
      <c r="AA152" s="130"/>
      <c r="AB152" s="130"/>
      <c r="AC152" s="130"/>
      <c r="AD152" s="130"/>
      <c r="AI152" s="166"/>
      <c r="AJ152" s="130"/>
      <c r="AK152" s="130"/>
      <c r="AL152" s="130"/>
      <c r="AM152" s="130"/>
      <c r="AN152" s="130"/>
      <c r="AP152" s="32"/>
      <c r="AR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</row>
    <row r="153" spans="1:58" x14ac:dyDescent="0.25">
      <c r="A153" s="148"/>
      <c r="B153" s="153"/>
      <c r="C153" s="119"/>
      <c r="D153" s="119"/>
      <c r="E153" s="154"/>
      <c r="F153" s="45"/>
      <c r="P153" s="130"/>
      <c r="S153" s="130"/>
      <c r="T153" s="130"/>
      <c r="U153" s="130"/>
      <c r="V153" s="130"/>
      <c r="W153" s="130"/>
      <c r="Y153" s="130"/>
      <c r="Z153" s="130"/>
      <c r="AA153" s="130"/>
      <c r="AB153" s="130"/>
      <c r="AC153" s="130"/>
      <c r="AD153" s="130"/>
      <c r="AI153" s="166"/>
      <c r="AJ153" s="130"/>
      <c r="AK153" s="130"/>
      <c r="AL153" s="130"/>
      <c r="AM153" s="130"/>
      <c r="AN153" s="130"/>
      <c r="AP153" s="32"/>
      <c r="AR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</row>
    <row r="154" spans="1:58" x14ac:dyDescent="0.25">
      <c r="A154" s="148"/>
      <c r="B154" s="153"/>
      <c r="C154" s="119"/>
      <c r="D154" s="119"/>
      <c r="E154" s="154"/>
      <c r="F154" s="45"/>
      <c r="P154" s="130"/>
      <c r="S154" s="130"/>
      <c r="T154" s="130"/>
      <c r="U154" s="130"/>
      <c r="V154" s="130"/>
      <c r="W154" s="130"/>
      <c r="Y154" s="130"/>
      <c r="Z154" s="130"/>
      <c r="AA154" s="130"/>
      <c r="AB154" s="130"/>
      <c r="AC154" s="130"/>
      <c r="AD154" s="130"/>
      <c r="AI154" s="166"/>
      <c r="AJ154" s="130"/>
      <c r="AK154" s="130"/>
      <c r="AL154" s="130"/>
      <c r="AM154" s="130"/>
      <c r="AN154" s="130"/>
      <c r="AP154" s="32"/>
      <c r="AR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</row>
    <row r="155" spans="1:58" x14ac:dyDescent="0.25">
      <c r="A155" s="148"/>
      <c r="B155" s="153"/>
      <c r="C155" s="119"/>
      <c r="D155" s="119"/>
      <c r="E155" s="154"/>
      <c r="F155" s="45"/>
      <c r="P155" s="130"/>
      <c r="S155" s="130"/>
      <c r="T155" s="130"/>
      <c r="U155" s="130"/>
      <c r="V155" s="130"/>
      <c r="W155" s="130"/>
      <c r="Y155" s="130"/>
      <c r="Z155" s="130"/>
      <c r="AA155" s="130"/>
      <c r="AB155" s="130"/>
      <c r="AC155" s="130"/>
      <c r="AD155" s="130"/>
      <c r="AI155" s="166"/>
      <c r="AJ155" s="130"/>
      <c r="AK155" s="130"/>
      <c r="AL155" s="130"/>
      <c r="AM155" s="130"/>
      <c r="AN155" s="130"/>
      <c r="AP155" s="32"/>
      <c r="AR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</row>
    <row r="156" spans="1:58" x14ac:dyDescent="0.25">
      <c r="A156" s="148"/>
      <c r="B156" s="153"/>
      <c r="C156" s="119"/>
      <c r="D156" s="119"/>
      <c r="E156" s="154"/>
      <c r="F156" s="45"/>
      <c r="P156" s="130"/>
      <c r="S156" s="130"/>
      <c r="T156" s="130"/>
      <c r="U156" s="130"/>
      <c r="V156" s="130"/>
      <c r="W156" s="130"/>
      <c r="Y156" s="130"/>
      <c r="Z156" s="130"/>
      <c r="AA156" s="130"/>
      <c r="AB156" s="130"/>
      <c r="AC156" s="130"/>
      <c r="AD156" s="130"/>
      <c r="AI156" s="166"/>
      <c r="AJ156" s="130"/>
      <c r="AK156" s="130"/>
      <c r="AL156" s="130"/>
      <c r="AM156" s="130"/>
      <c r="AN156" s="130"/>
      <c r="AP156" s="32"/>
      <c r="AR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</row>
    <row r="157" spans="1:58" x14ac:dyDescent="0.25">
      <c r="A157" s="148"/>
      <c r="B157" s="153"/>
      <c r="C157" s="119"/>
      <c r="D157" s="119"/>
      <c r="E157" s="154"/>
      <c r="F157" s="45"/>
      <c r="P157" s="130"/>
      <c r="S157" s="130"/>
      <c r="T157" s="130"/>
      <c r="U157" s="130"/>
      <c r="V157" s="130"/>
      <c r="W157" s="130"/>
      <c r="Y157" s="130"/>
      <c r="Z157" s="130"/>
      <c r="AA157" s="130"/>
      <c r="AB157" s="130"/>
      <c r="AC157" s="130"/>
      <c r="AD157" s="130"/>
      <c r="AI157" s="166"/>
      <c r="AJ157" s="130"/>
      <c r="AK157" s="130"/>
      <c r="AL157" s="130"/>
      <c r="AM157" s="130"/>
      <c r="AN157" s="130"/>
      <c r="AP157" s="32"/>
      <c r="AR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</row>
    <row r="158" spans="1:58" x14ac:dyDescent="0.25">
      <c r="A158" s="148"/>
      <c r="B158" s="153"/>
      <c r="C158" s="119"/>
      <c r="D158" s="119"/>
      <c r="E158" s="154"/>
      <c r="F158" s="45"/>
      <c r="P158" s="130"/>
      <c r="S158" s="130"/>
      <c r="T158" s="130"/>
      <c r="U158" s="130"/>
      <c r="V158" s="130"/>
      <c r="W158" s="130"/>
      <c r="Y158" s="130"/>
      <c r="Z158" s="130"/>
      <c r="AA158" s="130"/>
      <c r="AB158" s="130"/>
      <c r="AC158" s="130"/>
      <c r="AD158" s="130"/>
      <c r="AI158" s="166"/>
      <c r="AJ158" s="130"/>
      <c r="AK158" s="130"/>
      <c r="AL158" s="130"/>
      <c r="AM158" s="130"/>
      <c r="AN158" s="130"/>
      <c r="AP158" s="32"/>
      <c r="AR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</row>
    <row r="159" spans="1:58" x14ac:dyDescent="0.25">
      <c r="A159" s="148"/>
      <c r="B159" s="153"/>
      <c r="C159" s="119"/>
      <c r="D159" s="119"/>
      <c r="E159" s="154"/>
      <c r="F159" s="45"/>
      <c r="P159" s="130"/>
      <c r="S159" s="130"/>
      <c r="T159" s="130"/>
      <c r="U159" s="130"/>
      <c r="V159" s="130"/>
      <c r="W159" s="130"/>
      <c r="Y159" s="130"/>
      <c r="Z159" s="130"/>
      <c r="AA159" s="130"/>
      <c r="AB159" s="130"/>
      <c r="AC159" s="130"/>
      <c r="AD159" s="130"/>
      <c r="AI159" s="166"/>
      <c r="AJ159" s="130"/>
      <c r="AK159" s="130"/>
      <c r="AL159" s="130"/>
      <c r="AM159" s="130"/>
      <c r="AN159" s="130"/>
      <c r="AP159" s="32"/>
      <c r="AR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</row>
    <row r="160" spans="1:58" x14ac:dyDescent="0.25">
      <c r="A160" s="148"/>
      <c r="B160" s="153"/>
      <c r="C160" s="119"/>
      <c r="D160" s="119"/>
      <c r="E160" s="154"/>
      <c r="F160" s="45"/>
      <c r="P160" s="130"/>
      <c r="S160" s="130"/>
      <c r="T160" s="130"/>
      <c r="U160" s="130"/>
      <c r="V160" s="130"/>
      <c r="W160" s="130"/>
      <c r="Y160" s="130"/>
      <c r="Z160" s="130"/>
      <c r="AA160" s="130"/>
      <c r="AB160" s="130"/>
      <c r="AC160" s="130"/>
      <c r="AD160" s="130"/>
      <c r="AI160" s="166"/>
      <c r="AJ160" s="130"/>
      <c r="AK160" s="130"/>
      <c r="AL160" s="130"/>
      <c r="AM160" s="130"/>
      <c r="AN160" s="130"/>
      <c r="AP160" s="32"/>
      <c r="AR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</row>
    <row r="161" spans="1:58" x14ac:dyDescent="0.25">
      <c r="A161" s="148"/>
      <c r="B161" s="153"/>
      <c r="C161" s="119"/>
      <c r="D161" s="119"/>
      <c r="E161" s="154"/>
      <c r="F161" s="45"/>
      <c r="P161" s="130"/>
      <c r="S161" s="130"/>
      <c r="T161" s="130"/>
      <c r="U161" s="130"/>
      <c r="V161" s="130"/>
      <c r="W161" s="130"/>
      <c r="Y161" s="130"/>
      <c r="Z161" s="130"/>
      <c r="AA161" s="130"/>
      <c r="AB161" s="130"/>
      <c r="AC161" s="130"/>
      <c r="AD161" s="130"/>
      <c r="AI161" s="166"/>
      <c r="AJ161" s="130"/>
      <c r="AK161" s="130"/>
      <c r="AL161" s="130"/>
      <c r="AM161" s="130"/>
      <c r="AN161" s="130"/>
      <c r="AP161" s="32"/>
      <c r="AR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</row>
    <row r="162" spans="1:58" x14ac:dyDescent="0.25">
      <c r="A162" s="148"/>
      <c r="B162" s="153"/>
      <c r="C162" s="119"/>
      <c r="D162" s="119"/>
      <c r="E162" s="154"/>
      <c r="F162" s="45"/>
      <c r="P162" s="130"/>
      <c r="S162" s="130"/>
      <c r="T162" s="130"/>
      <c r="U162" s="130"/>
      <c r="V162" s="130"/>
      <c r="W162" s="130"/>
      <c r="Y162" s="130"/>
      <c r="Z162" s="130"/>
      <c r="AA162" s="130"/>
      <c r="AB162" s="130"/>
      <c r="AC162" s="130"/>
      <c r="AD162" s="130"/>
      <c r="AI162" s="166"/>
      <c r="AJ162" s="130"/>
      <c r="AK162" s="130"/>
      <c r="AL162" s="130"/>
      <c r="AM162" s="130"/>
      <c r="AN162" s="130"/>
      <c r="AP162" s="32"/>
      <c r="AR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</row>
    <row r="163" spans="1:58" x14ac:dyDescent="0.25">
      <c r="A163" s="148"/>
      <c r="B163" s="153"/>
      <c r="C163" s="119"/>
      <c r="D163" s="119"/>
      <c r="E163" s="154"/>
      <c r="F163" s="45"/>
      <c r="P163" s="130"/>
      <c r="S163" s="130"/>
      <c r="T163" s="130"/>
      <c r="U163" s="130"/>
      <c r="V163" s="130"/>
      <c r="W163" s="130"/>
      <c r="Y163" s="130"/>
      <c r="Z163" s="130"/>
      <c r="AA163" s="130"/>
      <c r="AB163" s="130"/>
      <c r="AC163" s="130"/>
      <c r="AD163" s="130"/>
      <c r="AI163" s="166"/>
      <c r="AJ163" s="130"/>
      <c r="AK163" s="130"/>
      <c r="AL163" s="130"/>
      <c r="AM163" s="130"/>
      <c r="AN163" s="130"/>
      <c r="AP163" s="32"/>
      <c r="AR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</row>
    <row r="164" spans="1:58" x14ac:dyDescent="0.25">
      <c r="A164" s="148"/>
      <c r="B164" s="153"/>
      <c r="C164" s="119"/>
      <c r="D164" s="119"/>
      <c r="E164" s="154"/>
      <c r="F164" s="45"/>
      <c r="P164" s="130"/>
      <c r="S164" s="130"/>
      <c r="T164" s="130"/>
      <c r="U164" s="130"/>
      <c r="V164" s="130"/>
      <c r="W164" s="130"/>
      <c r="Y164" s="130"/>
      <c r="Z164" s="130"/>
      <c r="AA164" s="130"/>
      <c r="AB164" s="130"/>
      <c r="AC164" s="130"/>
      <c r="AD164" s="130"/>
      <c r="AI164" s="166"/>
      <c r="AJ164" s="130"/>
      <c r="AK164" s="130"/>
      <c r="AL164" s="130"/>
      <c r="AM164" s="130"/>
      <c r="AN164" s="130"/>
      <c r="AP164" s="32"/>
      <c r="AR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</row>
    <row r="165" spans="1:58" x14ac:dyDescent="0.25">
      <c r="A165" s="148"/>
      <c r="B165" s="153"/>
      <c r="C165" s="119"/>
      <c r="D165" s="119"/>
      <c r="E165" s="154"/>
      <c r="F165" s="45"/>
      <c r="P165" s="130"/>
      <c r="S165" s="130"/>
      <c r="T165" s="130"/>
      <c r="U165" s="130"/>
      <c r="V165" s="130"/>
      <c r="W165" s="130"/>
      <c r="Y165" s="130"/>
      <c r="Z165" s="130"/>
      <c r="AA165" s="130"/>
      <c r="AB165" s="130"/>
      <c r="AC165" s="130"/>
      <c r="AD165" s="130"/>
      <c r="AI165" s="166"/>
      <c r="AJ165" s="130"/>
      <c r="AK165" s="130"/>
      <c r="AL165" s="130"/>
      <c r="AM165" s="130"/>
      <c r="AN165" s="130"/>
      <c r="AP165" s="32"/>
      <c r="AR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</row>
    <row r="166" spans="1:58" x14ac:dyDescent="0.25">
      <c r="A166" s="148"/>
      <c r="B166" s="153"/>
      <c r="C166" s="119"/>
      <c r="D166" s="119"/>
      <c r="E166" s="154"/>
      <c r="F166" s="45"/>
      <c r="P166" s="130"/>
      <c r="S166" s="130"/>
      <c r="T166" s="130"/>
      <c r="U166" s="130"/>
      <c r="V166" s="130"/>
      <c r="W166" s="130"/>
      <c r="Y166" s="130"/>
      <c r="Z166" s="130"/>
      <c r="AA166" s="130"/>
      <c r="AB166" s="130"/>
      <c r="AC166" s="130"/>
      <c r="AD166" s="130"/>
      <c r="AI166" s="166"/>
      <c r="AJ166" s="130"/>
      <c r="AK166" s="130"/>
      <c r="AL166" s="130"/>
      <c r="AM166" s="130"/>
      <c r="AN166" s="130"/>
      <c r="AP166" s="32"/>
      <c r="AR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</row>
    <row r="167" spans="1:58" x14ac:dyDescent="0.25">
      <c r="A167" s="148"/>
      <c r="B167" s="153"/>
      <c r="C167" s="119"/>
      <c r="D167" s="119"/>
      <c r="E167" s="154"/>
      <c r="F167" s="45"/>
      <c r="P167" s="130"/>
      <c r="S167" s="130"/>
      <c r="T167" s="130"/>
      <c r="U167" s="130"/>
      <c r="V167" s="130"/>
      <c r="W167" s="130"/>
      <c r="Y167" s="130"/>
      <c r="Z167" s="130"/>
      <c r="AA167" s="130"/>
      <c r="AB167" s="130"/>
      <c r="AC167" s="130"/>
      <c r="AD167" s="130"/>
      <c r="AI167" s="166"/>
      <c r="AJ167" s="130"/>
      <c r="AK167" s="130"/>
      <c r="AL167" s="130"/>
      <c r="AM167" s="130"/>
      <c r="AN167" s="130"/>
      <c r="AP167" s="32"/>
      <c r="AR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</row>
    <row r="168" spans="1:58" x14ac:dyDescent="0.25">
      <c r="A168" s="148"/>
      <c r="B168" s="153"/>
      <c r="C168" s="119"/>
      <c r="D168" s="119"/>
      <c r="E168" s="154"/>
      <c r="F168" s="45"/>
      <c r="P168" s="130"/>
      <c r="S168" s="130"/>
      <c r="T168" s="130"/>
      <c r="U168" s="130"/>
      <c r="V168" s="130"/>
      <c r="W168" s="130"/>
      <c r="Y168" s="130"/>
      <c r="Z168" s="130"/>
      <c r="AA168" s="130"/>
      <c r="AB168" s="130"/>
      <c r="AC168" s="130"/>
      <c r="AD168" s="130"/>
      <c r="AI168" s="166"/>
      <c r="AJ168" s="130"/>
      <c r="AK168" s="130"/>
      <c r="AL168" s="130"/>
      <c r="AM168" s="130"/>
      <c r="AN168" s="130"/>
      <c r="AP168" s="32"/>
      <c r="AR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</row>
    <row r="169" spans="1:58" x14ac:dyDescent="0.25">
      <c r="A169" s="148"/>
      <c r="B169" s="153"/>
      <c r="C169" s="119"/>
      <c r="D169" s="119"/>
      <c r="E169" s="154"/>
      <c r="F169" s="45"/>
      <c r="P169" s="130"/>
      <c r="S169" s="130"/>
      <c r="T169" s="130"/>
      <c r="U169" s="130"/>
      <c r="V169" s="130"/>
      <c r="W169" s="130"/>
      <c r="Y169" s="130"/>
      <c r="Z169" s="130"/>
      <c r="AA169" s="130"/>
      <c r="AB169" s="130"/>
      <c r="AC169" s="130"/>
      <c r="AD169" s="130"/>
      <c r="AI169" s="166"/>
      <c r="AJ169" s="130"/>
      <c r="AK169" s="130"/>
      <c r="AL169" s="130"/>
      <c r="AM169" s="130"/>
      <c r="AN169" s="130"/>
      <c r="AP169" s="32"/>
      <c r="AR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</row>
    <row r="170" spans="1:58" x14ac:dyDescent="0.25">
      <c r="A170" s="148"/>
      <c r="B170" s="153"/>
      <c r="C170" s="119"/>
      <c r="D170" s="119"/>
      <c r="E170" s="154"/>
      <c r="F170" s="45"/>
      <c r="P170" s="130"/>
      <c r="S170" s="130"/>
      <c r="T170" s="130"/>
      <c r="U170" s="130"/>
      <c r="V170" s="130"/>
      <c r="W170" s="130"/>
      <c r="Y170" s="130"/>
      <c r="Z170" s="130"/>
      <c r="AA170" s="130"/>
      <c r="AB170" s="130"/>
      <c r="AC170" s="130"/>
      <c r="AD170" s="130"/>
      <c r="AI170" s="166"/>
      <c r="AJ170" s="130"/>
      <c r="AK170" s="130"/>
      <c r="AL170" s="130"/>
      <c r="AM170" s="130"/>
      <c r="AN170" s="130"/>
      <c r="AP170" s="32"/>
      <c r="AR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</row>
    <row r="171" spans="1:58" x14ac:dyDescent="0.25">
      <c r="A171" s="148"/>
      <c r="B171" s="153"/>
      <c r="C171" s="119"/>
      <c r="D171" s="119"/>
      <c r="E171" s="154"/>
      <c r="F171" s="45"/>
      <c r="P171" s="130"/>
      <c r="S171" s="130"/>
      <c r="T171" s="130"/>
      <c r="U171" s="130"/>
      <c r="V171" s="130"/>
      <c r="W171" s="130"/>
      <c r="Y171" s="130"/>
      <c r="Z171" s="130"/>
      <c r="AA171" s="130"/>
      <c r="AB171" s="130"/>
      <c r="AC171" s="130"/>
      <c r="AD171" s="130"/>
      <c r="AI171" s="166"/>
      <c r="AJ171" s="130"/>
      <c r="AK171" s="130"/>
      <c r="AL171" s="130"/>
      <c r="AM171" s="130"/>
      <c r="AN171" s="130"/>
      <c r="AP171" s="32"/>
      <c r="AR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</row>
    <row r="172" spans="1:58" x14ac:dyDescent="0.25">
      <c r="A172" s="148"/>
      <c r="B172" s="153"/>
      <c r="C172" s="119"/>
      <c r="D172" s="119"/>
      <c r="E172" s="154"/>
      <c r="F172" s="45"/>
      <c r="P172" s="130"/>
      <c r="S172" s="130"/>
      <c r="T172" s="130"/>
      <c r="U172" s="130"/>
      <c r="V172" s="130"/>
      <c r="W172" s="130"/>
      <c r="Y172" s="130"/>
      <c r="Z172" s="130"/>
      <c r="AA172" s="130"/>
      <c r="AB172" s="130"/>
      <c r="AC172" s="130"/>
      <c r="AD172" s="130"/>
      <c r="AI172" s="166"/>
      <c r="AJ172" s="130"/>
      <c r="AK172" s="130"/>
      <c r="AL172" s="130"/>
      <c r="AM172" s="130"/>
      <c r="AN172" s="130"/>
      <c r="AP172" s="32"/>
      <c r="AR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</row>
    <row r="173" spans="1:58" x14ac:dyDescent="0.25">
      <c r="A173" s="148"/>
      <c r="B173" s="153"/>
      <c r="C173" s="119"/>
      <c r="D173" s="119"/>
      <c r="E173" s="154"/>
      <c r="F173" s="45"/>
      <c r="P173" s="130"/>
      <c r="S173" s="130"/>
      <c r="T173" s="130"/>
      <c r="U173" s="130"/>
      <c r="V173" s="130"/>
      <c r="W173" s="130"/>
      <c r="Y173" s="130"/>
      <c r="Z173" s="130"/>
      <c r="AA173" s="130"/>
      <c r="AB173" s="130"/>
      <c r="AC173" s="130"/>
      <c r="AD173" s="130"/>
      <c r="AI173" s="166"/>
      <c r="AJ173" s="130"/>
      <c r="AK173" s="130"/>
      <c r="AL173" s="130"/>
      <c r="AM173" s="130"/>
      <c r="AN173" s="130"/>
      <c r="AP173" s="32"/>
      <c r="AR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</row>
    <row r="174" spans="1:58" x14ac:dyDescent="0.25">
      <c r="A174" s="148"/>
      <c r="B174" s="153"/>
      <c r="C174" s="119"/>
      <c r="D174" s="119"/>
      <c r="E174" s="154"/>
      <c r="F174" s="45"/>
      <c r="P174" s="130"/>
      <c r="S174" s="130"/>
      <c r="T174" s="130"/>
      <c r="U174" s="130"/>
      <c r="V174" s="130"/>
      <c r="W174" s="130"/>
      <c r="Y174" s="130"/>
      <c r="Z174" s="130"/>
      <c r="AA174" s="130"/>
      <c r="AB174" s="130"/>
      <c r="AC174" s="130"/>
      <c r="AD174" s="130"/>
      <c r="AI174" s="166"/>
      <c r="AJ174" s="130"/>
      <c r="AK174" s="130"/>
      <c r="AL174" s="130"/>
      <c r="AM174" s="130"/>
      <c r="AN174" s="130"/>
      <c r="AP174" s="32"/>
      <c r="AR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</row>
    <row r="175" spans="1:58" x14ac:dyDescent="0.25">
      <c r="A175" s="148"/>
      <c r="B175" s="153"/>
      <c r="C175" s="119"/>
      <c r="D175" s="119"/>
      <c r="E175" s="154"/>
      <c r="F175" s="45"/>
      <c r="P175" s="130"/>
      <c r="S175" s="130"/>
      <c r="T175" s="130"/>
      <c r="U175" s="130"/>
      <c r="V175" s="130"/>
      <c r="W175" s="130"/>
      <c r="Y175" s="130"/>
      <c r="Z175" s="130"/>
      <c r="AA175" s="130"/>
      <c r="AB175" s="130"/>
      <c r="AC175" s="130"/>
      <c r="AD175" s="130"/>
      <c r="AI175" s="166"/>
      <c r="AJ175" s="130"/>
      <c r="AK175" s="130"/>
      <c r="AL175" s="130"/>
      <c r="AM175" s="130"/>
      <c r="AN175" s="130"/>
      <c r="AP175" s="32"/>
      <c r="AR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</row>
    <row r="176" spans="1:58" x14ac:dyDescent="0.25">
      <c r="A176" s="148"/>
      <c r="B176" s="153"/>
      <c r="C176" s="119"/>
      <c r="D176" s="119"/>
      <c r="E176" s="154"/>
      <c r="F176" s="45"/>
      <c r="P176" s="130"/>
      <c r="S176" s="130"/>
      <c r="T176" s="130"/>
      <c r="U176" s="130"/>
      <c r="V176" s="130"/>
      <c r="W176" s="130"/>
      <c r="Y176" s="130"/>
      <c r="Z176" s="130"/>
      <c r="AA176" s="130"/>
      <c r="AB176" s="130"/>
      <c r="AC176" s="130"/>
      <c r="AD176" s="130"/>
      <c r="AI176" s="166"/>
      <c r="AJ176" s="130"/>
      <c r="AK176" s="130"/>
      <c r="AL176" s="130"/>
      <c r="AM176" s="130"/>
      <c r="AN176" s="130"/>
      <c r="AP176" s="32"/>
      <c r="AR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</row>
    <row r="177" spans="1:58" x14ac:dyDescent="0.25">
      <c r="A177" s="148"/>
      <c r="B177" s="153"/>
      <c r="C177" s="119"/>
      <c r="D177" s="119"/>
      <c r="E177" s="154"/>
      <c r="F177" s="45"/>
      <c r="P177" s="130"/>
      <c r="S177" s="130"/>
      <c r="T177" s="130"/>
      <c r="U177" s="130"/>
      <c r="V177" s="130"/>
      <c r="W177" s="130"/>
      <c r="Y177" s="130"/>
      <c r="Z177" s="130"/>
      <c r="AA177" s="130"/>
      <c r="AB177" s="130"/>
      <c r="AC177" s="130"/>
      <c r="AD177" s="130"/>
      <c r="AI177" s="166"/>
      <c r="AJ177" s="130"/>
      <c r="AK177" s="130"/>
      <c r="AL177" s="130"/>
      <c r="AM177" s="130"/>
      <c r="AN177" s="130"/>
      <c r="AP177" s="32"/>
      <c r="AR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</row>
    <row r="178" spans="1:58" x14ac:dyDescent="0.25">
      <c r="A178" s="148"/>
      <c r="B178" s="153"/>
      <c r="C178" s="119"/>
      <c r="D178" s="119"/>
      <c r="E178" s="154"/>
      <c r="F178" s="45"/>
      <c r="P178" s="130"/>
      <c r="S178" s="130"/>
      <c r="T178" s="130"/>
      <c r="U178" s="130"/>
      <c r="V178" s="130"/>
      <c r="W178" s="130"/>
      <c r="Y178" s="130"/>
      <c r="Z178" s="130"/>
      <c r="AA178" s="130"/>
      <c r="AB178" s="130"/>
      <c r="AC178" s="130"/>
      <c r="AD178" s="130"/>
      <c r="AI178" s="166"/>
      <c r="AJ178" s="130"/>
      <c r="AK178" s="130"/>
      <c r="AL178" s="130"/>
      <c r="AM178" s="130"/>
      <c r="AN178" s="130"/>
      <c r="AP178" s="32"/>
      <c r="AR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</row>
    <row r="179" spans="1:58" x14ac:dyDescent="0.25">
      <c r="A179" s="148"/>
      <c r="B179" s="153"/>
      <c r="C179" s="119"/>
      <c r="D179" s="119"/>
      <c r="E179" s="154"/>
      <c r="F179" s="45"/>
      <c r="P179" s="130"/>
      <c r="S179" s="130"/>
      <c r="T179" s="130"/>
      <c r="U179" s="130"/>
      <c r="V179" s="130"/>
      <c r="W179" s="130"/>
      <c r="Y179" s="130"/>
      <c r="Z179" s="130"/>
      <c r="AA179" s="130"/>
      <c r="AB179" s="130"/>
      <c r="AC179" s="130"/>
      <c r="AD179" s="130"/>
      <c r="AI179" s="166"/>
      <c r="AJ179" s="130"/>
      <c r="AK179" s="130"/>
      <c r="AL179" s="130"/>
      <c r="AM179" s="130"/>
      <c r="AN179" s="130"/>
      <c r="AP179" s="32"/>
      <c r="AR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</row>
    <row r="180" spans="1:58" x14ac:dyDescent="0.25">
      <c r="A180" s="148"/>
      <c r="B180" s="153"/>
      <c r="C180" s="119"/>
      <c r="D180" s="119"/>
      <c r="E180" s="154"/>
      <c r="F180" s="45"/>
      <c r="P180" s="130"/>
      <c r="S180" s="130"/>
      <c r="T180" s="130"/>
      <c r="U180" s="130"/>
      <c r="V180" s="130"/>
      <c r="W180" s="130"/>
      <c r="Y180" s="130"/>
      <c r="Z180" s="130"/>
      <c r="AA180" s="130"/>
      <c r="AB180" s="130"/>
      <c r="AC180" s="130"/>
      <c r="AD180" s="130"/>
      <c r="AI180" s="166"/>
      <c r="AJ180" s="130"/>
      <c r="AK180" s="130"/>
      <c r="AL180" s="130"/>
      <c r="AM180" s="130"/>
      <c r="AN180" s="130"/>
      <c r="AP180" s="32"/>
      <c r="AR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</row>
    <row r="181" spans="1:58" x14ac:dyDescent="0.25">
      <c r="A181" s="148"/>
      <c r="B181" s="153"/>
      <c r="C181" s="119"/>
      <c r="D181" s="119"/>
      <c r="E181" s="154"/>
      <c r="F181" s="45"/>
      <c r="P181" s="130"/>
      <c r="S181" s="130"/>
      <c r="T181" s="130"/>
      <c r="U181" s="130"/>
      <c r="V181" s="130"/>
      <c r="W181" s="130"/>
      <c r="Y181" s="130"/>
      <c r="Z181" s="130"/>
      <c r="AA181" s="130"/>
      <c r="AB181" s="130"/>
      <c r="AC181" s="130"/>
      <c r="AD181" s="130"/>
      <c r="AI181" s="166"/>
      <c r="AJ181" s="130"/>
      <c r="AK181" s="130"/>
      <c r="AL181" s="130"/>
      <c r="AM181" s="130"/>
      <c r="AN181" s="130"/>
      <c r="AP181" s="32"/>
      <c r="AR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</row>
    <row r="182" spans="1:58" x14ac:dyDescent="0.25">
      <c r="A182" s="148"/>
      <c r="B182" s="153"/>
      <c r="C182" s="119"/>
      <c r="D182" s="119"/>
      <c r="E182" s="154"/>
      <c r="F182" s="45"/>
      <c r="P182" s="130"/>
      <c r="S182" s="130"/>
      <c r="T182" s="130"/>
      <c r="U182" s="130"/>
      <c r="V182" s="130"/>
      <c r="W182" s="130"/>
      <c r="Y182" s="130"/>
      <c r="Z182" s="130"/>
      <c r="AA182" s="130"/>
      <c r="AB182" s="130"/>
      <c r="AC182" s="130"/>
      <c r="AD182" s="130"/>
      <c r="AI182" s="166"/>
      <c r="AJ182" s="130"/>
      <c r="AK182" s="130"/>
      <c r="AL182" s="130"/>
      <c r="AM182" s="130"/>
      <c r="AN182" s="130"/>
      <c r="AP182" s="32"/>
      <c r="AR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</row>
    <row r="183" spans="1:58" x14ac:dyDescent="0.25">
      <c r="A183" s="148"/>
      <c r="B183" s="153"/>
      <c r="C183" s="119"/>
      <c r="D183" s="119"/>
      <c r="E183" s="154"/>
      <c r="F183" s="45"/>
      <c r="P183" s="130"/>
      <c r="S183" s="130"/>
      <c r="T183" s="130"/>
      <c r="U183" s="130"/>
      <c r="V183" s="130"/>
      <c r="W183" s="130"/>
      <c r="Y183" s="130"/>
      <c r="Z183" s="130"/>
      <c r="AA183" s="130"/>
      <c r="AB183" s="130"/>
      <c r="AC183" s="130"/>
      <c r="AD183" s="130"/>
      <c r="AI183" s="166"/>
      <c r="AJ183" s="130"/>
      <c r="AK183" s="130"/>
      <c r="AL183" s="130"/>
      <c r="AM183" s="130"/>
      <c r="AN183" s="130"/>
      <c r="AP183" s="32"/>
      <c r="AR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</row>
    <row r="184" spans="1:58" x14ac:dyDescent="0.25">
      <c r="A184" s="148"/>
      <c r="B184" s="153"/>
      <c r="C184" s="119"/>
      <c r="D184" s="119"/>
      <c r="E184" s="154"/>
      <c r="F184" s="45"/>
      <c r="P184" s="130"/>
      <c r="S184" s="130"/>
      <c r="T184" s="130"/>
      <c r="U184" s="130"/>
      <c r="V184" s="130"/>
      <c r="W184" s="130"/>
      <c r="Y184" s="130"/>
      <c r="Z184" s="130"/>
      <c r="AA184" s="130"/>
      <c r="AB184" s="130"/>
      <c r="AC184" s="130"/>
      <c r="AD184" s="130"/>
      <c r="AI184" s="166"/>
      <c r="AJ184" s="130"/>
      <c r="AK184" s="130"/>
      <c r="AL184" s="130"/>
      <c r="AM184" s="130"/>
      <c r="AN184" s="130"/>
      <c r="AP184" s="32"/>
      <c r="AR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</row>
    <row r="185" spans="1:58" x14ac:dyDescent="0.25">
      <c r="A185" s="148"/>
      <c r="B185" s="153"/>
      <c r="C185" s="119"/>
      <c r="D185" s="119"/>
      <c r="E185" s="154"/>
      <c r="F185" s="45"/>
      <c r="P185" s="130"/>
      <c r="S185" s="130"/>
      <c r="T185" s="130"/>
      <c r="U185" s="130"/>
      <c r="V185" s="130"/>
      <c r="W185" s="130"/>
      <c r="Y185" s="130"/>
      <c r="Z185" s="130"/>
      <c r="AA185" s="130"/>
      <c r="AB185" s="130"/>
      <c r="AC185" s="130"/>
      <c r="AD185" s="130"/>
      <c r="AI185" s="166"/>
      <c r="AJ185" s="130"/>
      <c r="AK185" s="130"/>
      <c r="AL185" s="130"/>
      <c r="AM185" s="130"/>
      <c r="AN185" s="130"/>
      <c r="AP185" s="32"/>
      <c r="AR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</row>
    <row r="186" spans="1:58" x14ac:dyDescent="0.25">
      <c r="A186" s="148"/>
      <c r="B186" s="153"/>
      <c r="C186" s="119"/>
      <c r="D186" s="119"/>
      <c r="E186" s="154"/>
      <c r="F186" s="45"/>
      <c r="P186" s="130"/>
      <c r="S186" s="130"/>
      <c r="T186" s="130"/>
      <c r="U186" s="130"/>
      <c r="V186" s="130"/>
      <c r="W186" s="130"/>
      <c r="Y186" s="130"/>
      <c r="Z186" s="130"/>
      <c r="AA186" s="130"/>
      <c r="AB186" s="130"/>
      <c r="AC186" s="130"/>
      <c r="AD186" s="130"/>
      <c r="AI186" s="166"/>
      <c r="AJ186" s="130"/>
      <c r="AK186" s="130"/>
      <c r="AL186" s="130"/>
      <c r="AM186" s="130"/>
      <c r="AN186" s="130"/>
      <c r="AP186" s="32"/>
      <c r="AR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</row>
    <row r="187" spans="1:58" x14ac:dyDescent="0.25">
      <c r="A187" s="148"/>
      <c r="B187" s="153"/>
      <c r="C187" s="119"/>
      <c r="D187" s="119"/>
      <c r="E187" s="154"/>
      <c r="F187" s="45"/>
      <c r="P187" s="130"/>
      <c r="S187" s="130"/>
      <c r="T187" s="130"/>
      <c r="U187" s="130"/>
      <c r="V187" s="130"/>
      <c r="W187" s="130"/>
      <c r="Y187" s="130"/>
      <c r="Z187" s="130"/>
      <c r="AA187" s="130"/>
      <c r="AB187" s="130"/>
      <c r="AC187" s="130"/>
      <c r="AD187" s="130"/>
      <c r="AI187" s="166"/>
      <c r="AJ187" s="130"/>
      <c r="AK187" s="130"/>
      <c r="AL187" s="130"/>
      <c r="AM187" s="130"/>
      <c r="AN187" s="130"/>
      <c r="AP187" s="32"/>
      <c r="AR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</row>
    <row r="188" spans="1:58" x14ac:dyDescent="0.25">
      <c r="A188" s="148"/>
      <c r="B188" s="153"/>
      <c r="C188" s="119"/>
      <c r="D188" s="119"/>
      <c r="E188" s="154"/>
      <c r="F188" s="45"/>
      <c r="P188" s="130"/>
      <c r="S188" s="130"/>
      <c r="T188" s="130"/>
      <c r="U188" s="130"/>
      <c r="V188" s="130"/>
      <c r="W188" s="130"/>
      <c r="Y188" s="130"/>
      <c r="Z188" s="130"/>
      <c r="AA188" s="130"/>
      <c r="AB188" s="130"/>
      <c r="AC188" s="130"/>
      <c r="AD188" s="130"/>
      <c r="AI188" s="166"/>
      <c r="AJ188" s="130"/>
      <c r="AK188" s="130"/>
      <c r="AL188" s="130"/>
      <c r="AM188" s="130"/>
      <c r="AN188" s="130"/>
      <c r="AP188" s="32"/>
      <c r="AR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</row>
    <row r="189" spans="1:58" x14ac:dyDescent="0.25">
      <c r="A189" s="148"/>
      <c r="B189" s="153"/>
      <c r="C189" s="119"/>
      <c r="D189" s="119"/>
      <c r="E189" s="154"/>
      <c r="F189" s="45"/>
      <c r="P189" s="130"/>
      <c r="S189" s="130"/>
      <c r="T189" s="130"/>
      <c r="U189" s="130"/>
      <c r="V189" s="130"/>
      <c r="W189" s="130"/>
      <c r="Y189" s="130"/>
      <c r="Z189" s="130"/>
      <c r="AA189" s="130"/>
      <c r="AB189" s="130"/>
      <c r="AC189" s="130"/>
      <c r="AD189" s="130"/>
      <c r="AI189" s="166"/>
      <c r="AJ189" s="130"/>
      <c r="AK189" s="130"/>
      <c r="AL189" s="130"/>
      <c r="AM189" s="130"/>
      <c r="AN189" s="130"/>
      <c r="AP189" s="32"/>
      <c r="AR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</row>
    <row r="190" spans="1:58" x14ac:dyDescent="0.25">
      <c r="A190" s="148"/>
      <c r="B190" s="153"/>
      <c r="C190" s="119"/>
      <c r="D190" s="119"/>
      <c r="E190" s="154"/>
      <c r="F190" s="45"/>
      <c r="P190" s="130"/>
      <c r="S190" s="130"/>
      <c r="T190" s="130"/>
      <c r="U190" s="130"/>
      <c r="V190" s="130"/>
      <c r="W190" s="130"/>
      <c r="Y190" s="130"/>
      <c r="Z190" s="130"/>
      <c r="AA190" s="130"/>
      <c r="AB190" s="130"/>
      <c r="AC190" s="130"/>
      <c r="AD190" s="130"/>
      <c r="AI190" s="166"/>
      <c r="AJ190" s="130"/>
      <c r="AK190" s="130"/>
      <c r="AL190" s="130"/>
      <c r="AM190" s="130"/>
      <c r="AN190" s="130"/>
      <c r="AP190" s="32"/>
      <c r="AR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</row>
    <row r="191" spans="1:58" x14ac:dyDescent="0.25">
      <c r="A191" s="148"/>
      <c r="B191" s="153"/>
      <c r="C191" s="119"/>
      <c r="D191" s="119"/>
      <c r="E191" s="154"/>
      <c r="F191" s="45"/>
      <c r="P191" s="130"/>
      <c r="S191" s="130"/>
      <c r="T191" s="130"/>
      <c r="U191" s="130"/>
      <c r="V191" s="130"/>
      <c r="W191" s="130"/>
      <c r="Y191" s="130"/>
      <c r="Z191" s="130"/>
      <c r="AA191" s="130"/>
      <c r="AB191" s="130"/>
      <c r="AC191" s="130"/>
      <c r="AD191" s="130"/>
      <c r="AI191" s="166"/>
      <c r="AJ191" s="130"/>
      <c r="AK191" s="130"/>
      <c r="AL191" s="130"/>
      <c r="AM191" s="130"/>
      <c r="AN191" s="130"/>
      <c r="AP191" s="32"/>
      <c r="AR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</row>
    <row r="192" spans="1:58" x14ac:dyDescent="0.25">
      <c r="A192" s="148"/>
      <c r="B192" s="153"/>
      <c r="C192" s="119"/>
      <c r="D192" s="119"/>
      <c r="E192" s="154"/>
      <c r="F192" s="45"/>
      <c r="P192" s="130"/>
      <c r="S192" s="130"/>
      <c r="T192" s="130"/>
      <c r="U192" s="130"/>
      <c r="V192" s="130"/>
      <c r="W192" s="130"/>
      <c r="Y192" s="130"/>
      <c r="Z192" s="130"/>
      <c r="AA192" s="130"/>
      <c r="AB192" s="130"/>
      <c r="AC192" s="130"/>
      <c r="AD192" s="130"/>
      <c r="AI192" s="166"/>
      <c r="AJ192" s="130"/>
      <c r="AK192" s="130"/>
      <c r="AL192" s="130"/>
      <c r="AM192" s="130"/>
      <c r="AN192" s="130"/>
      <c r="AP192" s="32"/>
      <c r="AR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</row>
    <row r="193" spans="1:58" x14ac:dyDescent="0.25">
      <c r="A193" s="148"/>
      <c r="B193" s="153"/>
      <c r="C193" s="119"/>
      <c r="D193" s="119"/>
      <c r="E193" s="154"/>
      <c r="F193" s="45"/>
      <c r="P193" s="130"/>
      <c r="S193" s="130"/>
      <c r="T193" s="130"/>
      <c r="U193" s="130"/>
      <c r="V193" s="130"/>
      <c r="W193" s="130"/>
      <c r="Y193" s="130"/>
      <c r="Z193" s="130"/>
      <c r="AA193" s="130"/>
      <c r="AB193" s="130"/>
      <c r="AC193" s="130"/>
      <c r="AD193" s="130"/>
      <c r="AI193" s="166"/>
      <c r="AJ193" s="130"/>
      <c r="AK193" s="130"/>
      <c r="AL193" s="130"/>
      <c r="AM193" s="130"/>
      <c r="AN193" s="130"/>
      <c r="AP193" s="32"/>
      <c r="AR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</row>
    <row r="194" spans="1:58" x14ac:dyDescent="0.25">
      <c r="A194" s="148"/>
      <c r="B194" s="153"/>
      <c r="C194" s="119"/>
      <c r="D194" s="119"/>
      <c r="E194" s="154"/>
      <c r="F194" s="45"/>
      <c r="P194" s="130"/>
      <c r="S194" s="130"/>
      <c r="T194" s="130"/>
      <c r="U194" s="130"/>
      <c r="V194" s="130"/>
      <c r="W194" s="130"/>
      <c r="Y194" s="130"/>
      <c r="Z194" s="130"/>
      <c r="AA194" s="130"/>
      <c r="AB194" s="130"/>
      <c r="AC194" s="130"/>
      <c r="AD194" s="130"/>
      <c r="AI194" s="166"/>
      <c r="AJ194" s="130"/>
      <c r="AK194" s="130"/>
      <c r="AL194" s="130"/>
      <c r="AM194" s="130"/>
      <c r="AN194" s="130"/>
      <c r="AP194" s="32"/>
      <c r="AR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</row>
    <row r="195" spans="1:58" x14ac:dyDescent="0.25">
      <c r="A195" s="148"/>
      <c r="B195" s="153"/>
      <c r="C195" s="119"/>
      <c r="D195" s="119"/>
      <c r="E195" s="154"/>
      <c r="F195" s="45"/>
      <c r="P195" s="130"/>
      <c r="S195" s="130"/>
      <c r="T195" s="130"/>
      <c r="U195" s="130"/>
      <c r="V195" s="130"/>
      <c r="W195" s="130"/>
      <c r="Y195" s="130"/>
      <c r="Z195" s="130"/>
      <c r="AA195" s="130"/>
      <c r="AB195" s="130"/>
      <c r="AC195" s="130"/>
      <c r="AD195" s="130"/>
      <c r="AI195" s="166"/>
      <c r="AJ195" s="130"/>
      <c r="AK195" s="130"/>
      <c r="AL195" s="130"/>
      <c r="AM195" s="130"/>
      <c r="AN195" s="130"/>
      <c r="AP195" s="32"/>
      <c r="AR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</row>
    <row r="196" spans="1:58" x14ac:dyDescent="0.25">
      <c r="A196" s="148"/>
      <c r="B196" s="153"/>
      <c r="C196" s="119"/>
      <c r="D196" s="119"/>
      <c r="E196" s="154"/>
      <c r="F196" s="45"/>
      <c r="P196" s="130"/>
      <c r="S196" s="130"/>
      <c r="T196" s="130"/>
      <c r="U196" s="130"/>
      <c r="V196" s="130"/>
      <c r="W196" s="130"/>
      <c r="Y196" s="130"/>
      <c r="Z196" s="130"/>
      <c r="AA196" s="130"/>
      <c r="AB196" s="130"/>
      <c r="AC196" s="130"/>
      <c r="AD196" s="130"/>
      <c r="AI196" s="166"/>
      <c r="AJ196" s="130"/>
      <c r="AK196" s="130"/>
      <c r="AL196" s="130"/>
      <c r="AM196" s="130"/>
      <c r="AN196" s="130"/>
      <c r="AP196" s="32"/>
      <c r="AR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</row>
    <row r="197" spans="1:58" x14ac:dyDescent="0.25">
      <c r="A197" s="148"/>
      <c r="B197" s="153"/>
      <c r="C197" s="119"/>
      <c r="D197" s="119"/>
      <c r="E197" s="154"/>
      <c r="F197" s="45"/>
      <c r="P197" s="130"/>
      <c r="S197" s="130"/>
      <c r="T197" s="130"/>
      <c r="U197" s="130"/>
      <c r="V197" s="130"/>
      <c r="W197" s="130"/>
      <c r="Y197" s="130"/>
      <c r="Z197" s="130"/>
      <c r="AA197" s="130"/>
      <c r="AB197" s="130"/>
      <c r="AC197" s="130"/>
      <c r="AD197" s="130"/>
      <c r="AI197" s="166"/>
      <c r="AJ197" s="130"/>
      <c r="AK197" s="130"/>
      <c r="AL197" s="130"/>
      <c r="AM197" s="130"/>
      <c r="AN197" s="130"/>
      <c r="AP197" s="32"/>
      <c r="AR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</row>
    <row r="198" spans="1:58" x14ac:dyDescent="0.25">
      <c r="A198" s="148"/>
      <c r="B198" s="153"/>
      <c r="C198" s="119"/>
      <c r="D198" s="119"/>
      <c r="E198" s="154"/>
      <c r="F198" s="45"/>
      <c r="P198" s="130"/>
      <c r="S198" s="130"/>
      <c r="T198" s="130"/>
      <c r="U198" s="130"/>
      <c r="V198" s="130"/>
      <c r="W198" s="130"/>
      <c r="Y198" s="130"/>
      <c r="Z198" s="130"/>
      <c r="AA198" s="130"/>
      <c r="AB198" s="130"/>
      <c r="AC198" s="130"/>
      <c r="AD198" s="130"/>
      <c r="AI198" s="166"/>
      <c r="AJ198" s="130"/>
      <c r="AK198" s="130"/>
      <c r="AL198" s="130"/>
      <c r="AM198" s="130"/>
      <c r="AN198" s="130"/>
      <c r="AP198" s="32"/>
      <c r="AR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</row>
    <row r="199" spans="1:58" x14ac:dyDescent="0.25">
      <c r="A199" s="148"/>
      <c r="B199" s="153"/>
      <c r="C199" s="119"/>
      <c r="D199" s="119"/>
      <c r="E199" s="154"/>
      <c r="F199" s="45"/>
      <c r="P199" s="130"/>
      <c r="S199" s="130"/>
      <c r="T199" s="130"/>
      <c r="U199" s="130"/>
      <c r="V199" s="130"/>
      <c r="W199" s="130"/>
      <c r="Y199" s="130"/>
      <c r="Z199" s="130"/>
      <c r="AA199" s="130"/>
      <c r="AB199" s="130"/>
      <c r="AC199" s="130"/>
      <c r="AD199" s="130"/>
      <c r="AI199" s="166"/>
      <c r="AJ199" s="130"/>
      <c r="AK199" s="130"/>
      <c r="AL199" s="130"/>
      <c r="AM199" s="130"/>
      <c r="AN199" s="130"/>
      <c r="AP199" s="32"/>
      <c r="AR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</row>
    <row r="200" spans="1:58" x14ac:dyDescent="0.25">
      <c r="A200" s="148"/>
      <c r="B200" s="153"/>
      <c r="C200" s="119"/>
      <c r="D200" s="119"/>
      <c r="E200" s="154"/>
      <c r="F200" s="45"/>
      <c r="P200" s="130"/>
      <c r="S200" s="130"/>
      <c r="T200" s="130"/>
      <c r="U200" s="130"/>
      <c r="V200" s="130"/>
      <c r="W200" s="130"/>
      <c r="Y200" s="130"/>
      <c r="Z200" s="130"/>
      <c r="AA200" s="130"/>
      <c r="AB200" s="130"/>
      <c r="AC200" s="130"/>
      <c r="AD200" s="130"/>
      <c r="AI200" s="166"/>
      <c r="AJ200" s="130"/>
      <c r="AK200" s="130"/>
      <c r="AL200" s="130"/>
      <c r="AM200" s="130"/>
      <c r="AN200" s="130"/>
      <c r="AP200" s="32"/>
      <c r="AR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</row>
    <row r="201" spans="1:58" x14ac:dyDescent="0.25">
      <c r="A201" s="148"/>
      <c r="B201" s="153"/>
      <c r="C201" s="119"/>
      <c r="D201" s="119"/>
      <c r="E201" s="154"/>
      <c r="F201" s="45"/>
      <c r="P201" s="130"/>
      <c r="S201" s="130"/>
      <c r="T201" s="130"/>
      <c r="U201" s="130"/>
      <c r="V201" s="130"/>
      <c r="W201" s="130"/>
      <c r="Y201" s="130"/>
      <c r="Z201" s="130"/>
      <c r="AA201" s="130"/>
      <c r="AB201" s="130"/>
      <c r="AC201" s="130"/>
      <c r="AD201" s="130"/>
      <c r="AI201" s="166"/>
      <c r="AJ201" s="130"/>
      <c r="AK201" s="130"/>
      <c r="AL201" s="130"/>
      <c r="AM201" s="130"/>
      <c r="AN201" s="130"/>
      <c r="AP201" s="32"/>
      <c r="AR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</row>
    <row r="202" spans="1:58" x14ac:dyDescent="0.25">
      <c r="A202" s="148"/>
      <c r="B202" s="153"/>
      <c r="C202" s="119"/>
      <c r="D202" s="119"/>
      <c r="E202" s="154"/>
      <c r="F202" s="45"/>
      <c r="P202" s="130"/>
      <c r="S202" s="130"/>
      <c r="T202" s="130"/>
      <c r="U202" s="130"/>
      <c r="V202" s="130"/>
      <c r="W202" s="130"/>
      <c r="Y202" s="130"/>
      <c r="Z202" s="130"/>
      <c r="AA202" s="130"/>
      <c r="AB202" s="130"/>
      <c r="AC202" s="130"/>
      <c r="AD202" s="130"/>
      <c r="AI202" s="166"/>
      <c r="AJ202" s="130"/>
      <c r="AK202" s="130"/>
      <c r="AL202" s="130"/>
      <c r="AM202" s="130"/>
      <c r="AN202" s="130"/>
      <c r="AP202" s="32"/>
      <c r="AR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</row>
    <row r="203" spans="1:58" x14ac:dyDescent="0.25">
      <c r="A203" s="148"/>
      <c r="B203" s="153"/>
      <c r="C203" s="119"/>
      <c r="D203" s="119"/>
      <c r="E203" s="154"/>
      <c r="F203" s="45"/>
      <c r="P203" s="130"/>
      <c r="S203" s="130"/>
      <c r="T203" s="130"/>
      <c r="U203" s="130"/>
      <c r="V203" s="130"/>
      <c r="W203" s="130"/>
      <c r="Y203" s="130"/>
      <c r="Z203" s="130"/>
      <c r="AA203" s="130"/>
      <c r="AB203" s="130"/>
      <c r="AC203" s="130"/>
      <c r="AD203" s="130"/>
      <c r="AI203" s="166"/>
      <c r="AJ203" s="130"/>
      <c r="AK203" s="130"/>
      <c r="AL203" s="130"/>
      <c r="AM203" s="130"/>
      <c r="AN203" s="130"/>
      <c r="AP203" s="32"/>
      <c r="AR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</row>
    <row r="204" spans="1:58" x14ac:dyDescent="0.25">
      <c r="A204" s="148"/>
      <c r="B204" s="153"/>
      <c r="C204" s="119"/>
      <c r="D204" s="119"/>
      <c r="E204" s="154"/>
      <c r="F204" s="45"/>
      <c r="P204" s="130"/>
      <c r="S204" s="130"/>
      <c r="T204" s="130"/>
      <c r="U204" s="130"/>
      <c r="V204" s="130"/>
      <c r="W204" s="130"/>
      <c r="Y204" s="130"/>
      <c r="Z204" s="130"/>
      <c r="AA204" s="130"/>
      <c r="AB204" s="130"/>
      <c r="AC204" s="130"/>
      <c r="AD204" s="130"/>
      <c r="AI204" s="166"/>
      <c r="AJ204" s="130"/>
      <c r="AK204" s="130"/>
      <c r="AL204" s="130"/>
      <c r="AM204" s="130"/>
      <c r="AN204" s="130"/>
      <c r="AP204" s="32"/>
      <c r="AR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</row>
    <row r="205" spans="1:58" x14ac:dyDescent="0.25">
      <c r="A205" s="148"/>
      <c r="B205" s="153"/>
      <c r="C205" s="119"/>
      <c r="D205" s="119"/>
      <c r="E205" s="154"/>
      <c r="F205" s="45"/>
      <c r="P205" s="130"/>
      <c r="S205" s="130"/>
      <c r="T205" s="130"/>
      <c r="U205" s="130"/>
      <c r="V205" s="130"/>
      <c r="W205" s="130"/>
      <c r="Y205" s="130"/>
      <c r="Z205" s="130"/>
      <c r="AA205" s="130"/>
      <c r="AB205" s="130"/>
      <c r="AC205" s="130"/>
      <c r="AD205" s="130"/>
      <c r="AI205" s="166"/>
      <c r="AJ205" s="130"/>
      <c r="AK205" s="130"/>
      <c r="AL205" s="130"/>
      <c r="AM205" s="130"/>
      <c r="AN205" s="130"/>
      <c r="AP205" s="32"/>
      <c r="AR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</row>
    <row r="206" spans="1:58" x14ac:dyDescent="0.25">
      <c r="A206" s="148"/>
      <c r="B206" s="153"/>
      <c r="C206" s="119"/>
      <c r="D206" s="119"/>
      <c r="E206" s="154"/>
      <c r="F206" s="45"/>
      <c r="P206" s="130"/>
      <c r="S206" s="130"/>
      <c r="T206" s="130"/>
      <c r="U206" s="130"/>
      <c r="V206" s="130"/>
      <c r="W206" s="130"/>
      <c r="Y206" s="130"/>
      <c r="Z206" s="130"/>
      <c r="AA206" s="130"/>
      <c r="AB206" s="130"/>
      <c r="AC206" s="130"/>
      <c r="AD206" s="130"/>
      <c r="AI206" s="166"/>
      <c r="AJ206" s="130"/>
      <c r="AK206" s="130"/>
      <c r="AL206" s="130"/>
      <c r="AM206" s="130"/>
      <c r="AN206" s="130"/>
      <c r="AP206" s="32"/>
      <c r="AR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</row>
    <row r="207" spans="1:58" x14ac:dyDescent="0.25">
      <c r="A207" s="148"/>
      <c r="B207" s="153"/>
      <c r="C207" s="119"/>
      <c r="D207" s="119"/>
      <c r="E207" s="154"/>
      <c r="F207" s="45"/>
      <c r="P207" s="130"/>
      <c r="S207" s="130"/>
      <c r="T207" s="130"/>
      <c r="U207" s="130"/>
      <c r="V207" s="130"/>
      <c r="W207" s="130"/>
      <c r="Y207" s="130"/>
      <c r="Z207" s="130"/>
      <c r="AA207" s="130"/>
      <c r="AB207" s="130"/>
      <c r="AC207" s="130"/>
      <c r="AD207" s="130"/>
      <c r="AI207" s="166"/>
      <c r="AJ207" s="130"/>
      <c r="AK207" s="130"/>
      <c r="AL207" s="130"/>
      <c r="AM207" s="130"/>
      <c r="AN207" s="130"/>
      <c r="AP207" s="32"/>
      <c r="AR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</row>
    <row r="208" spans="1:58" x14ac:dyDescent="0.25">
      <c r="A208" s="148"/>
      <c r="B208" s="153"/>
      <c r="C208" s="119"/>
      <c r="D208" s="119"/>
      <c r="E208" s="154"/>
      <c r="F208" s="45"/>
      <c r="P208" s="130"/>
      <c r="S208" s="130"/>
      <c r="T208" s="130"/>
      <c r="U208" s="130"/>
      <c r="V208" s="130"/>
      <c r="W208" s="130"/>
      <c r="Y208" s="130"/>
      <c r="Z208" s="130"/>
      <c r="AA208" s="130"/>
      <c r="AB208" s="130"/>
      <c r="AC208" s="130"/>
      <c r="AD208" s="130"/>
      <c r="AI208" s="166"/>
      <c r="AJ208" s="130"/>
      <c r="AK208" s="130"/>
      <c r="AL208" s="130"/>
      <c r="AM208" s="130"/>
      <c r="AN208" s="130"/>
      <c r="AP208" s="32"/>
      <c r="AR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</row>
    <row r="209" spans="1:58" x14ac:dyDescent="0.25">
      <c r="A209" s="148"/>
      <c r="B209" s="153"/>
      <c r="C209" s="119"/>
      <c r="D209" s="119"/>
      <c r="E209" s="154"/>
      <c r="F209" s="45"/>
      <c r="P209" s="130"/>
      <c r="S209" s="130"/>
      <c r="T209" s="130"/>
      <c r="U209" s="130"/>
      <c r="V209" s="130"/>
      <c r="W209" s="130"/>
      <c r="Y209" s="130"/>
      <c r="Z209" s="130"/>
      <c r="AA209" s="130"/>
      <c r="AB209" s="130"/>
      <c r="AC209" s="130"/>
      <c r="AD209" s="130"/>
      <c r="AI209" s="166"/>
      <c r="AJ209" s="130"/>
      <c r="AK209" s="130"/>
      <c r="AL209" s="130"/>
      <c r="AM209" s="130"/>
      <c r="AN209" s="130"/>
      <c r="AP209" s="32"/>
      <c r="AR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</row>
    <row r="210" spans="1:58" x14ac:dyDescent="0.25">
      <c r="A210" s="148"/>
      <c r="B210" s="153"/>
      <c r="C210" s="119"/>
      <c r="D210" s="119"/>
      <c r="E210" s="154"/>
      <c r="F210" s="45"/>
      <c r="P210" s="130"/>
      <c r="S210" s="130"/>
      <c r="T210" s="130"/>
      <c r="U210" s="130"/>
      <c r="V210" s="130"/>
      <c r="W210" s="130"/>
      <c r="Y210" s="130"/>
      <c r="Z210" s="130"/>
      <c r="AA210" s="130"/>
      <c r="AB210" s="130"/>
      <c r="AC210" s="130"/>
      <c r="AD210" s="130"/>
      <c r="AI210" s="166"/>
      <c r="AJ210" s="130"/>
      <c r="AK210" s="130"/>
      <c r="AL210" s="130"/>
      <c r="AM210" s="130"/>
      <c r="AN210" s="130"/>
      <c r="AP210" s="32"/>
      <c r="AR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</row>
    <row r="211" spans="1:58" x14ac:dyDescent="0.25">
      <c r="A211" s="148"/>
      <c r="B211" s="153"/>
      <c r="C211" s="119"/>
      <c r="D211" s="119"/>
      <c r="E211" s="154"/>
      <c r="F211" s="45"/>
      <c r="P211" s="130"/>
      <c r="S211" s="130"/>
      <c r="T211" s="130"/>
      <c r="U211" s="130"/>
      <c r="V211" s="130"/>
      <c r="W211" s="130"/>
      <c r="Y211" s="130"/>
      <c r="Z211" s="130"/>
      <c r="AA211" s="130"/>
      <c r="AB211" s="130"/>
      <c r="AC211" s="130"/>
      <c r="AD211" s="130"/>
      <c r="AI211" s="166"/>
      <c r="AJ211" s="130"/>
      <c r="AK211" s="130"/>
      <c r="AL211" s="130"/>
      <c r="AM211" s="130"/>
      <c r="AN211" s="130"/>
      <c r="AP211" s="32"/>
      <c r="AR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</row>
    <row r="212" spans="1:58" x14ac:dyDescent="0.25">
      <c r="A212" s="148"/>
      <c r="B212" s="153"/>
      <c r="C212" s="119"/>
      <c r="D212" s="119"/>
      <c r="E212" s="154"/>
      <c r="F212" s="45"/>
      <c r="P212" s="130"/>
      <c r="S212" s="130"/>
      <c r="T212" s="130"/>
      <c r="U212" s="130"/>
      <c r="V212" s="130"/>
      <c r="W212" s="130"/>
      <c r="Y212" s="130"/>
      <c r="Z212" s="130"/>
      <c r="AA212" s="130"/>
      <c r="AB212" s="130"/>
      <c r="AC212" s="130"/>
      <c r="AD212" s="130"/>
      <c r="AI212" s="166"/>
      <c r="AJ212" s="130"/>
      <c r="AK212" s="130"/>
      <c r="AL212" s="130"/>
      <c r="AM212" s="130"/>
      <c r="AN212" s="130"/>
      <c r="AP212" s="32"/>
      <c r="AR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</row>
    <row r="213" spans="1:58" x14ac:dyDescent="0.25">
      <c r="A213" s="148"/>
      <c r="B213" s="153"/>
      <c r="C213" s="119"/>
      <c r="D213" s="119"/>
      <c r="E213" s="154"/>
      <c r="F213" s="45"/>
      <c r="P213" s="130"/>
      <c r="S213" s="130"/>
      <c r="T213" s="130"/>
      <c r="U213" s="130"/>
      <c r="V213" s="130"/>
      <c r="W213" s="130"/>
      <c r="Y213" s="130"/>
      <c r="Z213" s="130"/>
      <c r="AA213" s="130"/>
      <c r="AB213" s="130"/>
      <c r="AC213" s="130"/>
      <c r="AD213" s="130"/>
      <c r="AI213" s="166"/>
      <c r="AJ213" s="130"/>
      <c r="AK213" s="130"/>
      <c r="AL213" s="130"/>
      <c r="AM213" s="130"/>
      <c r="AN213" s="130"/>
      <c r="AP213" s="32"/>
      <c r="AR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</row>
    <row r="214" spans="1:58" x14ac:dyDescent="0.25">
      <c r="A214" s="148"/>
      <c r="B214" s="153"/>
      <c r="C214" s="119"/>
      <c r="D214" s="119"/>
      <c r="E214" s="154"/>
      <c r="F214" s="45"/>
      <c r="P214" s="130"/>
      <c r="S214" s="130"/>
      <c r="T214" s="130"/>
      <c r="U214" s="130"/>
      <c r="V214" s="130"/>
      <c r="W214" s="130"/>
      <c r="Y214" s="130"/>
      <c r="Z214" s="130"/>
      <c r="AA214" s="130"/>
      <c r="AB214" s="130"/>
      <c r="AC214" s="130"/>
      <c r="AD214" s="130"/>
      <c r="AI214" s="166"/>
      <c r="AJ214" s="130"/>
      <c r="AK214" s="130"/>
      <c r="AL214" s="130"/>
      <c r="AM214" s="130"/>
      <c r="AN214" s="130"/>
      <c r="AP214" s="32"/>
      <c r="AR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</row>
    <row r="215" spans="1:58" x14ac:dyDescent="0.25">
      <c r="A215" s="148"/>
      <c r="B215" s="153"/>
      <c r="C215" s="119"/>
      <c r="D215" s="119"/>
      <c r="E215" s="154"/>
      <c r="F215" s="45"/>
      <c r="P215" s="130"/>
      <c r="S215" s="130"/>
      <c r="T215" s="130"/>
      <c r="U215" s="130"/>
      <c r="V215" s="130"/>
      <c r="W215" s="130"/>
      <c r="Y215" s="130"/>
      <c r="Z215" s="130"/>
      <c r="AA215" s="130"/>
      <c r="AB215" s="130"/>
      <c r="AC215" s="130"/>
      <c r="AD215" s="130"/>
      <c r="AI215" s="166"/>
      <c r="AJ215" s="130"/>
      <c r="AK215" s="130"/>
      <c r="AL215" s="130"/>
      <c r="AM215" s="130"/>
      <c r="AN215" s="130"/>
      <c r="AP215" s="32"/>
      <c r="AR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</row>
    <row r="216" spans="1:58" x14ac:dyDescent="0.25">
      <c r="A216" s="148"/>
      <c r="B216" s="153"/>
      <c r="C216" s="119"/>
      <c r="D216" s="119"/>
      <c r="E216" s="154"/>
      <c r="F216" s="45"/>
      <c r="P216" s="130"/>
      <c r="S216" s="130"/>
      <c r="T216" s="130"/>
      <c r="U216" s="130"/>
      <c r="V216" s="130"/>
      <c r="W216" s="130"/>
      <c r="Y216" s="130"/>
      <c r="Z216" s="130"/>
      <c r="AA216" s="130"/>
      <c r="AB216" s="130"/>
      <c r="AC216" s="130"/>
      <c r="AD216" s="130"/>
      <c r="AI216" s="166"/>
      <c r="AJ216" s="130"/>
      <c r="AK216" s="130"/>
      <c r="AL216" s="130"/>
      <c r="AM216" s="130"/>
      <c r="AN216" s="130"/>
      <c r="AP216" s="32"/>
      <c r="AR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</row>
    <row r="217" spans="1:58" x14ac:dyDescent="0.25">
      <c r="A217" s="148"/>
      <c r="B217" s="153"/>
      <c r="C217" s="119"/>
      <c r="D217" s="119"/>
      <c r="E217" s="154"/>
      <c r="F217" s="45"/>
      <c r="P217" s="130"/>
      <c r="S217" s="130"/>
      <c r="T217" s="130"/>
      <c r="U217" s="130"/>
      <c r="V217" s="130"/>
      <c r="W217" s="130"/>
      <c r="Y217" s="130"/>
      <c r="Z217" s="130"/>
      <c r="AA217" s="130"/>
      <c r="AB217" s="130"/>
      <c r="AC217" s="130"/>
      <c r="AD217" s="130"/>
      <c r="AI217" s="166"/>
      <c r="AJ217" s="130"/>
      <c r="AK217" s="130"/>
      <c r="AL217" s="130"/>
      <c r="AM217" s="130"/>
      <c r="AN217" s="130"/>
      <c r="AP217" s="32"/>
      <c r="AR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</row>
    <row r="218" spans="1:58" x14ac:dyDescent="0.25">
      <c r="A218" s="148"/>
      <c r="B218" s="153"/>
      <c r="C218" s="119"/>
      <c r="D218" s="119"/>
      <c r="E218" s="154"/>
      <c r="F218" s="45"/>
      <c r="P218" s="130"/>
      <c r="S218" s="130"/>
      <c r="T218" s="130"/>
      <c r="U218" s="130"/>
      <c r="V218" s="130"/>
      <c r="W218" s="130"/>
      <c r="Y218" s="130"/>
      <c r="Z218" s="130"/>
      <c r="AA218" s="130"/>
      <c r="AB218" s="130"/>
      <c r="AC218" s="130"/>
      <c r="AD218" s="130"/>
      <c r="AI218" s="166"/>
      <c r="AJ218" s="130"/>
      <c r="AK218" s="130"/>
      <c r="AL218" s="130"/>
      <c r="AM218" s="130"/>
      <c r="AN218" s="130"/>
      <c r="AP218" s="32"/>
      <c r="AR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</row>
    <row r="219" spans="1:58" x14ac:dyDescent="0.25">
      <c r="A219" s="148"/>
      <c r="B219" s="153"/>
      <c r="C219" s="119"/>
      <c r="D219" s="119"/>
      <c r="E219" s="154"/>
      <c r="F219" s="45"/>
      <c r="P219" s="130"/>
      <c r="S219" s="130"/>
      <c r="T219" s="130"/>
      <c r="U219" s="130"/>
      <c r="V219" s="130"/>
      <c r="W219" s="130"/>
      <c r="Y219" s="130"/>
      <c r="Z219" s="130"/>
      <c r="AA219" s="130"/>
      <c r="AB219" s="130"/>
      <c r="AC219" s="130"/>
      <c r="AD219" s="130"/>
      <c r="AI219" s="166"/>
      <c r="AJ219" s="130"/>
      <c r="AK219" s="130"/>
      <c r="AL219" s="130"/>
      <c r="AM219" s="130"/>
      <c r="AN219" s="130"/>
      <c r="AP219" s="32"/>
      <c r="AR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</row>
    <row r="220" spans="1:58" x14ac:dyDescent="0.25">
      <c r="A220" s="148"/>
      <c r="B220" s="153"/>
      <c r="C220" s="119"/>
      <c r="D220" s="119"/>
      <c r="E220" s="154"/>
      <c r="F220" s="45"/>
      <c r="P220" s="130"/>
      <c r="S220" s="130"/>
      <c r="T220" s="130"/>
      <c r="U220" s="130"/>
      <c r="V220" s="130"/>
      <c r="W220" s="130"/>
      <c r="Y220" s="130"/>
      <c r="Z220" s="130"/>
      <c r="AA220" s="130"/>
      <c r="AB220" s="130"/>
      <c r="AC220" s="130"/>
      <c r="AD220" s="130"/>
      <c r="AI220" s="166"/>
      <c r="AJ220" s="130"/>
      <c r="AK220" s="130"/>
      <c r="AL220" s="130"/>
      <c r="AM220" s="130"/>
      <c r="AN220" s="130"/>
      <c r="AP220" s="32"/>
      <c r="AR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</row>
    <row r="221" spans="1:58" x14ac:dyDescent="0.25">
      <c r="A221" s="148"/>
      <c r="B221" s="153"/>
      <c r="C221" s="119"/>
      <c r="D221" s="119"/>
      <c r="E221" s="154"/>
      <c r="F221" s="45"/>
      <c r="P221" s="130"/>
      <c r="S221" s="130"/>
      <c r="T221" s="130"/>
      <c r="U221" s="130"/>
      <c r="V221" s="130"/>
      <c r="W221" s="130"/>
      <c r="Y221" s="130"/>
      <c r="Z221" s="130"/>
      <c r="AA221" s="130"/>
      <c r="AB221" s="130"/>
      <c r="AC221" s="130"/>
      <c r="AD221" s="130"/>
      <c r="AI221" s="166"/>
      <c r="AJ221" s="130"/>
      <c r="AK221" s="130"/>
      <c r="AL221" s="130"/>
      <c r="AM221" s="130"/>
      <c r="AN221" s="130"/>
      <c r="AP221" s="32"/>
      <c r="AR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</row>
    <row r="222" spans="1:58" x14ac:dyDescent="0.25">
      <c r="A222" s="148"/>
      <c r="B222" s="153"/>
      <c r="C222" s="119"/>
      <c r="D222" s="119"/>
      <c r="E222" s="154"/>
      <c r="F222" s="45"/>
      <c r="P222" s="130"/>
      <c r="S222" s="130"/>
      <c r="T222" s="130"/>
      <c r="U222" s="130"/>
      <c r="V222" s="130"/>
      <c r="W222" s="130"/>
      <c r="Y222" s="130"/>
      <c r="Z222" s="130"/>
      <c r="AA222" s="130"/>
      <c r="AB222" s="130"/>
      <c r="AC222" s="130"/>
      <c r="AD222" s="130"/>
      <c r="AI222" s="166"/>
      <c r="AJ222" s="130"/>
      <c r="AK222" s="130"/>
      <c r="AL222" s="130"/>
      <c r="AM222" s="130"/>
      <c r="AN222" s="130"/>
      <c r="AP222" s="32"/>
      <c r="AR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</row>
    <row r="223" spans="1:58" x14ac:dyDescent="0.25">
      <c r="A223" s="148"/>
      <c r="B223" s="153"/>
      <c r="C223" s="119"/>
      <c r="D223" s="119"/>
      <c r="E223" s="154"/>
      <c r="F223" s="45"/>
      <c r="P223" s="130"/>
      <c r="S223" s="130"/>
      <c r="T223" s="130"/>
      <c r="U223" s="130"/>
      <c r="V223" s="130"/>
      <c r="W223" s="130"/>
      <c r="Y223" s="130"/>
      <c r="Z223" s="130"/>
      <c r="AA223" s="130"/>
      <c r="AB223" s="130"/>
      <c r="AC223" s="130"/>
      <c r="AD223" s="130"/>
      <c r="AI223" s="166"/>
      <c r="AJ223" s="130"/>
      <c r="AK223" s="130"/>
      <c r="AL223" s="130"/>
      <c r="AM223" s="130"/>
      <c r="AN223" s="130"/>
      <c r="AP223" s="32"/>
      <c r="AR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</row>
    <row r="224" spans="1:58" x14ac:dyDescent="0.25">
      <c r="A224" s="148"/>
      <c r="B224" s="153"/>
      <c r="C224" s="119"/>
      <c r="D224" s="119"/>
      <c r="E224" s="154"/>
      <c r="F224" s="45"/>
      <c r="P224" s="130"/>
      <c r="S224" s="130"/>
      <c r="T224" s="130"/>
      <c r="U224" s="130"/>
      <c r="V224" s="130"/>
      <c r="W224" s="130"/>
      <c r="Y224" s="130"/>
      <c r="Z224" s="130"/>
      <c r="AA224" s="130"/>
      <c r="AB224" s="130"/>
      <c r="AC224" s="130"/>
      <c r="AD224" s="130"/>
      <c r="AI224" s="166"/>
      <c r="AJ224" s="130"/>
      <c r="AK224" s="130"/>
      <c r="AL224" s="130"/>
      <c r="AM224" s="130"/>
      <c r="AN224" s="130"/>
      <c r="AP224" s="32"/>
      <c r="AR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</row>
    <row r="225" spans="1:58" x14ac:dyDescent="0.25">
      <c r="A225" s="148"/>
      <c r="B225" s="153"/>
      <c r="C225" s="119"/>
      <c r="D225" s="119"/>
      <c r="E225" s="154"/>
      <c r="F225" s="45"/>
      <c r="P225" s="130"/>
      <c r="S225" s="130"/>
      <c r="T225" s="130"/>
      <c r="U225" s="130"/>
      <c r="V225" s="130"/>
      <c r="W225" s="130"/>
      <c r="Y225" s="130"/>
      <c r="Z225" s="130"/>
      <c r="AA225" s="130"/>
      <c r="AB225" s="130"/>
      <c r="AC225" s="130"/>
      <c r="AD225" s="130"/>
      <c r="AI225" s="166"/>
      <c r="AJ225" s="130"/>
      <c r="AK225" s="130"/>
      <c r="AL225" s="130"/>
      <c r="AM225" s="130"/>
      <c r="AN225" s="130"/>
      <c r="AP225" s="32"/>
      <c r="AR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</row>
    <row r="226" spans="1:58" x14ac:dyDescent="0.25">
      <c r="A226" s="148"/>
      <c r="B226" s="153"/>
      <c r="C226" s="119"/>
      <c r="D226" s="119"/>
      <c r="E226" s="154"/>
      <c r="F226" s="45"/>
      <c r="P226" s="130"/>
      <c r="S226" s="130"/>
      <c r="T226" s="130"/>
      <c r="U226" s="130"/>
      <c r="V226" s="130"/>
      <c r="W226" s="130"/>
      <c r="Y226" s="130"/>
      <c r="Z226" s="130"/>
      <c r="AA226" s="130"/>
      <c r="AB226" s="130"/>
      <c r="AC226" s="130"/>
      <c r="AD226" s="130"/>
      <c r="AI226" s="166"/>
      <c r="AJ226" s="130"/>
      <c r="AK226" s="130"/>
      <c r="AL226" s="130"/>
      <c r="AM226" s="130"/>
      <c r="AN226" s="130"/>
      <c r="AP226" s="32"/>
      <c r="AR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</row>
    <row r="227" spans="1:58" x14ac:dyDescent="0.25">
      <c r="A227" s="148"/>
      <c r="B227" s="153"/>
      <c r="C227" s="119"/>
      <c r="D227" s="119"/>
      <c r="E227" s="154"/>
      <c r="F227" s="45"/>
      <c r="P227" s="130"/>
      <c r="S227" s="130"/>
      <c r="T227" s="130"/>
      <c r="U227" s="130"/>
      <c r="V227" s="130"/>
      <c r="W227" s="130"/>
      <c r="Y227" s="130"/>
      <c r="Z227" s="130"/>
      <c r="AA227" s="130"/>
      <c r="AB227" s="130"/>
      <c r="AC227" s="130"/>
      <c r="AD227" s="130"/>
      <c r="AI227" s="166"/>
      <c r="AJ227" s="130"/>
      <c r="AK227" s="130"/>
      <c r="AL227" s="130"/>
      <c r="AM227" s="130"/>
      <c r="AN227" s="130"/>
      <c r="AP227" s="32"/>
      <c r="AR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</row>
    <row r="228" spans="1:58" x14ac:dyDescent="0.25">
      <c r="A228" s="148"/>
      <c r="B228" s="153"/>
      <c r="C228" s="119"/>
      <c r="D228" s="119"/>
      <c r="E228" s="154"/>
      <c r="F228" s="45"/>
      <c r="P228" s="130"/>
      <c r="S228" s="130"/>
      <c r="T228" s="130"/>
      <c r="U228" s="130"/>
      <c r="V228" s="130"/>
      <c r="W228" s="130"/>
      <c r="Y228" s="130"/>
      <c r="Z228" s="130"/>
      <c r="AA228" s="130"/>
      <c r="AB228" s="130"/>
      <c r="AC228" s="130"/>
      <c r="AD228" s="130"/>
      <c r="AI228" s="166"/>
      <c r="AJ228" s="130"/>
      <c r="AK228" s="130"/>
      <c r="AL228" s="130"/>
      <c r="AM228" s="130"/>
      <c r="AN228" s="130"/>
      <c r="AP228" s="32"/>
      <c r="AR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</row>
    <row r="229" spans="1:58" x14ac:dyDescent="0.25">
      <c r="A229" s="148"/>
      <c r="B229" s="153"/>
      <c r="C229" s="119"/>
      <c r="D229" s="119"/>
      <c r="E229" s="154"/>
      <c r="F229" s="45"/>
      <c r="P229" s="130"/>
      <c r="S229" s="130"/>
      <c r="T229" s="130"/>
      <c r="U229" s="130"/>
      <c r="V229" s="130"/>
      <c r="W229" s="130"/>
      <c r="Y229" s="130"/>
      <c r="Z229" s="130"/>
      <c r="AA229" s="130"/>
      <c r="AB229" s="130"/>
      <c r="AC229" s="130"/>
      <c r="AD229" s="130"/>
      <c r="AI229" s="166"/>
      <c r="AJ229" s="130"/>
      <c r="AK229" s="130"/>
      <c r="AL229" s="130"/>
      <c r="AM229" s="130"/>
      <c r="AN229" s="130"/>
      <c r="AP229" s="32"/>
      <c r="AR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</row>
    <row r="230" spans="1:58" x14ac:dyDescent="0.25">
      <c r="A230" s="148"/>
      <c r="B230" s="153"/>
      <c r="C230" s="119"/>
      <c r="D230" s="119"/>
      <c r="E230" s="154"/>
      <c r="F230" s="45"/>
      <c r="P230" s="130"/>
      <c r="S230" s="130"/>
      <c r="T230" s="130"/>
      <c r="U230" s="130"/>
      <c r="V230" s="130"/>
      <c r="W230" s="130"/>
      <c r="Y230" s="130"/>
      <c r="Z230" s="130"/>
      <c r="AA230" s="130"/>
      <c r="AB230" s="130"/>
      <c r="AC230" s="130"/>
      <c r="AD230" s="130"/>
      <c r="AI230" s="166"/>
      <c r="AJ230" s="130"/>
      <c r="AK230" s="130"/>
      <c r="AL230" s="130"/>
      <c r="AM230" s="130"/>
      <c r="AN230" s="130"/>
      <c r="AP230" s="32"/>
      <c r="AR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</row>
    <row r="231" spans="1:58" x14ac:dyDescent="0.25">
      <c r="A231" s="148"/>
      <c r="B231" s="153"/>
      <c r="C231" s="119"/>
      <c r="D231" s="119"/>
      <c r="E231" s="154"/>
      <c r="F231" s="45"/>
      <c r="P231" s="130"/>
      <c r="S231" s="130"/>
      <c r="T231" s="130"/>
      <c r="U231" s="130"/>
      <c r="V231" s="130"/>
      <c r="W231" s="130"/>
      <c r="Y231" s="130"/>
      <c r="Z231" s="130"/>
      <c r="AA231" s="130"/>
      <c r="AB231" s="130"/>
      <c r="AC231" s="130"/>
      <c r="AD231" s="130"/>
      <c r="AI231" s="166"/>
      <c r="AJ231" s="130"/>
      <c r="AK231" s="130"/>
      <c r="AL231" s="130"/>
      <c r="AM231" s="130"/>
      <c r="AN231" s="130"/>
      <c r="AP231" s="32"/>
      <c r="AR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</row>
    <row r="232" spans="1:58" x14ac:dyDescent="0.25">
      <c r="A232" s="148"/>
      <c r="B232" s="153"/>
      <c r="C232" s="119"/>
      <c r="D232" s="119"/>
      <c r="E232" s="154"/>
      <c r="F232" s="45"/>
      <c r="P232" s="130"/>
      <c r="S232" s="130"/>
      <c r="T232" s="130"/>
      <c r="U232" s="130"/>
      <c r="V232" s="130"/>
      <c r="W232" s="130"/>
      <c r="Y232" s="130"/>
      <c r="Z232" s="130"/>
      <c r="AA232" s="130"/>
      <c r="AB232" s="130"/>
      <c r="AC232" s="130"/>
      <c r="AD232" s="130"/>
      <c r="AI232" s="166"/>
      <c r="AJ232" s="130"/>
      <c r="AK232" s="130"/>
      <c r="AL232" s="130"/>
      <c r="AM232" s="130"/>
      <c r="AN232" s="130"/>
      <c r="AP232" s="32"/>
      <c r="AR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</row>
    <row r="233" spans="1:58" x14ac:dyDescent="0.25">
      <c r="A233" s="148"/>
      <c r="B233" s="153"/>
      <c r="C233" s="119"/>
      <c r="D233" s="119"/>
      <c r="E233" s="154"/>
      <c r="F233" s="45"/>
      <c r="P233" s="130"/>
      <c r="S233" s="130"/>
      <c r="T233" s="130"/>
      <c r="U233" s="130"/>
      <c r="V233" s="130"/>
      <c r="W233" s="130"/>
      <c r="Y233" s="130"/>
      <c r="Z233" s="130"/>
      <c r="AA233" s="130"/>
      <c r="AB233" s="130"/>
      <c r="AC233" s="130"/>
      <c r="AD233" s="130"/>
      <c r="AI233" s="166"/>
      <c r="AJ233" s="130"/>
      <c r="AK233" s="130"/>
      <c r="AL233" s="130"/>
      <c r="AM233" s="130"/>
      <c r="AN233" s="130"/>
      <c r="AP233" s="32"/>
      <c r="AR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</row>
    <row r="234" spans="1:58" x14ac:dyDescent="0.25">
      <c r="A234" s="148"/>
      <c r="B234" s="153"/>
      <c r="C234" s="119"/>
      <c r="D234" s="119"/>
      <c r="E234" s="154"/>
      <c r="F234" s="45"/>
      <c r="P234" s="130"/>
      <c r="S234" s="130"/>
      <c r="T234" s="130"/>
      <c r="U234" s="130"/>
      <c r="V234" s="130"/>
      <c r="W234" s="130"/>
      <c r="Y234" s="130"/>
      <c r="Z234" s="130"/>
      <c r="AA234" s="130"/>
      <c r="AB234" s="130"/>
      <c r="AC234" s="130"/>
      <c r="AD234" s="130"/>
      <c r="AI234" s="166"/>
      <c r="AJ234" s="130"/>
      <c r="AK234" s="130"/>
      <c r="AL234" s="130"/>
      <c r="AM234" s="130"/>
      <c r="AN234" s="130"/>
      <c r="AP234" s="32"/>
      <c r="AR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</row>
    <row r="235" spans="1:58" x14ac:dyDescent="0.25">
      <c r="A235" s="148"/>
      <c r="B235" s="153"/>
      <c r="C235" s="119"/>
      <c r="D235" s="119"/>
      <c r="E235" s="154"/>
      <c r="F235" s="45"/>
      <c r="P235" s="130"/>
      <c r="S235" s="130"/>
      <c r="T235" s="130"/>
      <c r="U235" s="130"/>
      <c r="V235" s="130"/>
      <c r="W235" s="130"/>
      <c r="Y235" s="130"/>
      <c r="Z235" s="130"/>
      <c r="AA235" s="130"/>
      <c r="AB235" s="130"/>
      <c r="AC235" s="130"/>
      <c r="AD235" s="130"/>
      <c r="AI235" s="166"/>
      <c r="AJ235" s="130"/>
      <c r="AK235" s="130"/>
      <c r="AL235" s="130"/>
      <c r="AM235" s="130"/>
      <c r="AN235" s="130"/>
      <c r="AP235" s="32"/>
      <c r="AR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</row>
    <row r="236" spans="1:58" x14ac:dyDescent="0.25">
      <c r="A236" s="148"/>
      <c r="B236" s="153"/>
      <c r="C236" s="119"/>
      <c r="D236" s="119"/>
      <c r="E236" s="154"/>
      <c r="F236" s="45"/>
      <c r="P236" s="130"/>
      <c r="S236" s="130"/>
      <c r="T236" s="130"/>
      <c r="U236" s="130"/>
      <c r="V236" s="130"/>
      <c r="W236" s="130"/>
      <c r="Y236" s="130"/>
      <c r="Z236" s="130"/>
      <c r="AA236" s="130"/>
      <c r="AB236" s="130"/>
      <c r="AC236" s="130"/>
      <c r="AD236" s="130"/>
      <c r="AI236" s="166"/>
      <c r="AJ236" s="130"/>
      <c r="AK236" s="130"/>
      <c r="AL236" s="130"/>
      <c r="AM236" s="130"/>
      <c r="AN236" s="130"/>
      <c r="AP236" s="32"/>
      <c r="AR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</row>
    <row r="237" spans="1:58" x14ac:dyDescent="0.25">
      <c r="A237" s="148"/>
      <c r="B237" s="153"/>
      <c r="C237" s="119"/>
      <c r="D237" s="119"/>
      <c r="E237" s="154"/>
      <c r="F237" s="45"/>
      <c r="P237" s="130"/>
      <c r="S237" s="130"/>
      <c r="T237" s="130"/>
      <c r="U237" s="130"/>
      <c r="V237" s="130"/>
      <c r="W237" s="130"/>
      <c r="Y237" s="130"/>
      <c r="Z237" s="130"/>
      <c r="AA237" s="130"/>
      <c r="AB237" s="130"/>
      <c r="AC237" s="130"/>
      <c r="AD237" s="130"/>
      <c r="AI237" s="166"/>
      <c r="AJ237" s="130"/>
      <c r="AK237" s="130"/>
      <c r="AL237" s="130"/>
      <c r="AM237" s="130"/>
      <c r="AN237" s="130"/>
      <c r="AP237" s="32"/>
      <c r="AR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</row>
    <row r="238" spans="1:58" x14ac:dyDescent="0.25">
      <c r="A238" s="148"/>
      <c r="B238" s="153"/>
      <c r="C238" s="119"/>
      <c r="D238" s="119"/>
      <c r="E238" s="154"/>
      <c r="F238" s="45"/>
      <c r="P238" s="130"/>
      <c r="S238" s="130"/>
      <c r="T238" s="130"/>
      <c r="U238" s="130"/>
      <c r="V238" s="130"/>
      <c r="W238" s="130"/>
      <c r="Y238" s="130"/>
      <c r="Z238" s="130"/>
      <c r="AA238" s="130"/>
      <c r="AB238" s="130"/>
      <c r="AC238" s="130"/>
      <c r="AD238" s="130"/>
      <c r="AI238" s="166"/>
      <c r="AJ238" s="130"/>
      <c r="AK238" s="130"/>
      <c r="AL238" s="130"/>
      <c r="AM238" s="130"/>
      <c r="AN238" s="130"/>
      <c r="AP238" s="32"/>
      <c r="AR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</row>
    <row r="239" spans="1:58" x14ac:dyDescent="0.25">
      <c r="A239" s="148"/>
      <c r="B239" s="153"/>
      <c r="C239" s="119"/>
      <c r="D239" s="119"/>
      <c r="E239" s="154"/>
      <c r="F239" s="45"/>
      <c r="P239" s="130"/>
      <c r="S239" s="130"/>
      <c r="T239" s="130"/>
      <c r="U239" s="130"/>
      <c r="V239" s="130"/>
      <c r="W239" s="130"/>
      <c r="Y239" s="130"/>
      <c r="Z239" s="130"/>
      <c r="AA239" s="130"/>
      <c r="AB239" s="130"/>
      <c r="AC239" s="130"/>
      <c r="AD239" s="130"/>
      <c r="AI239" s="166"/>
      <c r="AJ239" s="130"/>
      <c r="AK239" s="130"/>
      <c r="AL239" s="130"/>
      <c r="AM239" s="130"/>
      <c r="AN239" s="130"/>
      <c r="AP239" s="32"/>
      <c r="AR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</row>
    <row r="240" spans="1:58" x14ac:dyDescent="0.25">
      <c r="A240" s="148"/>
      <c r="B240" s="153"/>
      <c r="C240" s="119"/>
      <c r="D240" s="119"/>
      <c r="E240" s="154"/>
      <c r="F240" s="45"/>
      <c r="P240" s="130"/>
      <c r="S240" s="130"/>
      <c r="T240" s="130"/>
      <c r="U240" s="130"/>
      <c r="V240" s="130"/>
      <c r="W240" s="130"/>
      <c r="Y240" s="130"/>
      <c r="Z240" s="130"/>
      <c r="AA240" s="130"/>
      <c r="AB240" s="130"/>
      <c r="AC240" s="130"/>
      <c r="AD240" s="130"/>
      <c r="AI240" s="166"/>
      <c r="AJ240" s="130"/>
      <c r="AK240" s="130"/>
      <c r="AL240" s="130"/>
      <c r="AM240" s="130"/>
      <c r="AN240" s="130"/>
      <c r="AP240" s="32"/>
      <c r="AR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</row>
    <row r="241" spans="1:58" x14ac:dyDescent="0.25">
      <c r="A241" s="148"/>
      <c r="B241" s="153"/>
      <c r="C241" s="119"/>
      <c r="D241" s="119"/>
      <c r="E241" s="154"/>
      <c r="F241" s="45"/>
      <c r="P241" s="130"/>
      <c r="S241" s="130"/>
      <c r="T241" s="130"/>
      <c r="U241" s="130"/>
      <c r="V241" s="130"/>
      <c r="W241" s="130"/>
      <c r="Y241" s="130"/>
      <c r="Z241" s="130"/>
      <c r="AA241" s="130"/>
      <c r="AB241" s="130"/>
      <c r="AC241" s="130"/>
      <c r="AD241" s="130"/>
      <c r="AI241" s="166"/>
      <c r="AJ241" s="130"/>
      <c r="AK241" s="130"/>
      <c r="AL241" s="130"/>
      <c r="AM241" s="130"/>
      <c r="AN241" s="130"/>
      <c r="AP241" s="32"/>
      <c r="AR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</row>
    <row r="242" spans="1:58" x14ac:dyDescent="0.25">
      <c r="A242" s="148"/>
      <c r="B242" s="153"/>
      <c r="C242" s="119"/>
      <c r="D242" s="119"/>
      <c r="E242" s="154"/>
      <c r="F242" s="45"/>
      <c r="P242" s="130"/>
      <c r="S242" s="130"/>
      <c r="T242" s="130"/>
      <c r="U242" s="130"/>
      <c r="V242" s="130"/>
      <c r="W242" s="130"/>
      <c r="Y242" s="130"/>
      <c r="Z242" s="130"/>
      <c r="AA242" s="130"/>
      <c r="AB242" s="130"/>
      <c r="AC242" s="130"/>
      <c r="AD242" s="130"/>
      <c r="AI242" s="166"/>
      <c r="AJ242" s="130"/>
      <c r="AK242" s="130"/>
      <c r="AL242" s="130"/>
      <c r="AM242" s="130"/>
      <c r="AN242" s="130"/>
      <c r="AP242" s="32"/>
      <c r="AR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</row>
    <row r="243" spans="1:58" x14ac:dyDescent="0.25">
      <c r="A243" s="148"/>
      <c r="B243" s="153"/>
      <c r="C243" s="119"/>
      <c r="D243" s="119"/>
      <c r="E243" s="154"/>
      <c r="F243" s="45"/>
      <c r="P243" s="130"/>
      <c r="S243" s="130"/>
      <c r="T243" s="130"/>
      <c r="U243" s="130"/>
      <c r="V243" s="130"/>
      <c r="W243" s="130"/>
      <c r="Y243" s="130"/>
      <c r="Z243" s="130"/>
      <c r="AA243" s="130"/>
      <c r="AB243" s="130"/>
      <c r="AC243" s="130"/>
      <c r="AD243" s="130"/>
      <c r="AI243" s="166"/>
      <c r="AJ243" s="130"/>
      <c r="AK243" s="130"/>
      <c r="AL243" s="130"/>
      <c r="AM243" s="130"/>
      <c r="AN243" s="130"/>
      <c r="AP243" s="32"/>
      <c r="AR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</row>
    <row r="244" spans="1:58" x14ac:dyDescent="0.25">
      <c r="A244" s="148"/>
      <c r="B244" s="153"/>
      <c r="C244" s="119"/>
      <c r="D244" s="119"/>
      <c r="E244" s="154"/>
      <c r="F244" s="45"/>
      <c r="P244" s="130"/>
      <c r="S244" s="130"/>
      <c r="T244" s="130"/>
      <c r="U244" s="130"/>
      <c r="V244" s="130"/>
      <c r="W244" s="130"/>
      <c r="Y244" s="130"/>
      <c r="Z244" s="130"/>
      <c r="AA244" s="130"/>
      <c r="AB244" s="130"/>
      <c r="AC244" s="130"/>
      <c r="AD244" s="130"/>
      <c r="AI244" s="166"/>
      <c r="AJ244" s="130"/>
      <c r="AK244" s="130"/>
      <c r="AL244" s="130"/>
      <c r="AM244" s="130"/>
      <c r="AN244" s="130"/>
      <c r="AP244" s="32"/>
      <c r="AR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</row>
    <row r="245" spans="1:58" x14ac:dyDescent="0.25">
      <c r="A245" s="148"/>
      <c r="B245" s="153"/>
      <c r="C245" s="119"/>
      <c r="D245" s="119"/>
      <c r="E245" s="154"/>
      <c r="F245" s="45"/>
      <c r="P245" s="130"/>
      <c r="S245" s="130"/>
      <c r="T245" s="130"/>
      <c r="U245" s="130"/>
      <c r="V245" s="130"/>
      <c r="W245" s="130"/>
      <c r="Y245" s="130"/>
      <c r="Z245" s="130"/>
      <c r="AA245" s="130"/>
      <c r="AB245" s="130"/>
      <c r="AC245" s="130"/>
      <c r="AD245" s="130"/>
      <c r="AI245" s="166"/>
      <c r="AJ245" s="130"/>
      <c r="AK245" s="130"/>
      <c r="AL245" s="130"/>
      <c r="AM245" s="130"/>
      <c r="AN245" s="130"/>
      <c r="AP245" s="32"/>
      <c r="AR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</row>
    <row r="246" spans="1:58" x14ac:dyDescent="0.25">
      <c r="A246" s="148"/>
      <c r="B246" s="153"/>
      <c r="C246" s="119"/>
      <c r="D246" s="119"/>
      <c r="E246" s="154"/>
      <c r="F246" s="45"/>
      <c r="P246" s="130"/>
      <c r="S246" s="130"/>
      <c r="T246" s="130"/>
      <c r="U246" s="130"/>
      <c r="V246" s="130"/>
      <c r="W246" s="130"/>
      <c r="Y246" s="130"/>
      <c r="Z246" s="130"/>
      <c r="AA246" s="130"/>
      <c r="AB246" s="130"/>
      <c r="AC246" s="130"/>
      <c r="AD246" s="130"/>
      <c r="AI246" s="166"/>
      <c r="AJ246" s="130"/>
      <c r="AK246" s="130"/>
      <c r="AL246" s="130"/>
      <c r="AM246" s="130"/>
      <c r="AN246" s="130"/>
      <c r="AP246" s="32"/>
      <c r="AR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</row>
    <row r="247" spans="1:58" x14ac:dyDescent="0.25">
      <c r="A247" s="148"/>
      <c r="B247" s="153"/>
      <c r="C247" s="119"/>
      <c r="D247" s="119"/>
      <c r="E247" s="154"/>
      <c r="F247" s="45"/>
      <c r="P247" s="130"/>
      <c r="S247" s="130"/>
      <c r="T247" s="130"/>
      <c r="U247" s="130"/>
      <c r="V247" s="130"/>
      <c r="W247" s="130"/>
      <c r="Y247" s="130"/>
      <c r="Z247" s="130"/>
      <c r="AA247" s="130"/>
      <c r="AB247" s="130"/>
      <c r="AC247" s="130"/>
      <c r="AD247" s="130"/>
      <c r="AI247" s="166"/>
      <c r="AJ247" s="130"/>
      <c r="AK247" s="130"/>
      <c r="AL247" s="130"/>
      <c r="AM247" s="130"/>
      <c r="AN247" s="130"/>
      <c r="AP247" s="32"/>
      <c r="AR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</row>
    <row r="248" spans="1:58" x14ac:dyDescent="0.25">
      <c r="A248" s="148"/>
      <c r="B248" s="153"/>
      <c r="C248" s="119"/>
      <c r="D248" s="119"/>
      <c r="E248" s="154"/>
      <c r="F248" s="45"/>
      <c r="P248" s="130"/>
      <c r="S248" s="130"/>
      <c r="T248" s="130"/>
      <c r="U248" s="130"/>
      <c r="V248" s="130"/>
      <c r="W248" s="130"/>
      <c r="Y248" s="130"/>
      <c r="Z248" s="130"/>
      <c r="AA248" s="130"/>
      <c r="AB248" s="130"/>
      <c r="AC248" s="130"/>
      <c r="AD248" s="130"/>
      <c r="AI248" s="166"/>
      <c r="AJ248" s="130"/>
      <c r="AK248" s="130"/>
      <c r="AL248" s="130"/>
      <c r="AM248" s="130"/>
      <c r="AN248" s="130"/>
      <c r="AP248" s="32"/>
      <c r="AR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</row>
    <row r="249" spans="1:58" x14ac:dyDescent="0.25">
      <c r="A249" s="148"/>
      <c r="B249" s="153"/>
      <c r="C249" s="119"/>
      <c r="D249" s="119"/>
      <c r="E249" s="154"/>
      <c r="F249" s="45"/>
      <c r="P249" s="130"/>
      <c r="S249" s="130"/>
      <c r="T249" s="130"/>
      <c r="U249" s="130"/>
      <c r="V249" s="130"/>
      <c r="W249" s="130"/>
      <c r="Y249" s="130"/>
      <c r="Z249" s="130"/>
      <c r="AA249" s="130"/>
      <c r="AB249" s="130"/>
      <c r="AC249" s="130"/>
      <c r="AD249" s="130"/>
      <c r="AI249" s="166"/>
      <c r="AJ249" s="130"/>
      <c r="AK249" s="130"/>
      <c r="AL249" s="130"/>
      <c r="AM249" s="130"/>
      <c r="AN249" s="130"/>
      <c r="AP249" s="32"/>
    </row>
    <row r="250" spans="1:58" x14ac:dyDescent="0.25">
      <c r="A250" s="148"/>
      <c r="B250" s="153"/>
      <c r="C250" s="119"/>
      <c r="D250" s="119"/>
      <c r="E250" s="154"/>
      <c r="F250" s="45"/>
      <c r="P250" s="130"/>
      <c r="S250" s="130"/>
      <c r="T250" s="130"/>
      <c r="U250" s="130"/>
      <c r="V250" s="130"/>
      <c r="W250" s="130"/>
      <c r="Y250" s="130"/>
      <c r="Z250" s="130"/>
      <c r="AA250" s="130"/>
      <c r="AB250" s="130"/>
      <c r="AC250" s="130"/>
      <c r="AD250" s="130"/>
      <c r="AI250" s="166"/>
      <c r="AJ250" s="130"/>
      <c r="AK250" s="130"/>
      <c r="AL250" s="130"/>
      <c r="AM250" s="130"/>
      <c r="AN250" s="130"/>
      <c r="AP250" s="32"/>
    </row>
    <row r="251" spans="1:58" x14ac:dyDescent="0.25">
      <c r="A251" s="148"/>
      <c r="B251" s="153"/>
      <c r="C251" s="119"/>
      <c r="D251" s="119"/>
      <c r="E251" s="154"/>
      <c r="F251" s="45"/>
      <c r="P251" s="130"/>
      <c r="S251" s="130"/>
      <c r="T251" s="130"/>
      <c r="U251" s="130"/>
      <c r="V251" s="130"/>
      <c r="W251" s="130"/>
      <c r="Y251" s="130"/>
      <c r="Z251" s="130"/>
      <c r="AA251" s="130"/>
      <c r="AB251" s="130"/>
      <c r="AC251" s="130"/>
      <c r="AD251" s="130"/>
      <c r="AI251" s="166"/>
      <c r="AJ251" s="130"/>
      <c r="AK251" s="130"/>
      <c r="AL251" s="130"/>
      <c r="AM251" s="130"/>
      <c r="AN251" s="130"/>
      <c r="AP251" s="32"/>
    </row>
    <row r="252" spans="1:58" x14ac:dyDescent="0.25">
      <c r="A252" s="148"/>
      <c r="B252" s="153"/>
      <c r="C252" s="119"/>
      <c r="D252" s="119"/>
      <c r="E252" s="154"/>
      <c r="F252" s="45"/>
      <c r="P252" s="130"/>
      <c r="S252" s="130"/>
      <c r="T252" s="130"/>
      <c r="U252" s="130"/>
      <c r="V252" s="130"/>
      <c r="W252" s="130"/>
      <c r="Y252" s="130"/>
      <c r="Z252" s="130"/>
      <c r="AA252" s="130"/>
      <c r="AB252" s="130"/>
      <c r="AC252" s="130"/>
      <c r="AD252" s="130"/>
      <c r="AI252" s="166"/>
      <c r="AJ252" s="130"/>
      <c r="AK252" s="130"/>
      <c r="AL252" s="130"/>
      <c r="AM252" s="130"/>
      <c r="AN252" s="130"/>
      <c r="AP252" s="32"/>
    </row>
    <row r="253" spans="1:58" x14ac:dyDescent="0.25">
      <c r="A253" s="148"/>
      <c r="B253" s="153"/>
      <c r="C253" s="119"/>
      <c r="D253" s="119"/>
      <c r="E253" s="154"/>
      <c r="F253" s="45"/>
      <c r="P253" s="130"/>
      <c r="S253" s="130"/>
      <c r="T253" s="130"/>
      <c r="U253" s="130"/>
      <c r="V253" s="130"/>
      <c r="W253" s="130"/>
      <c r="Y253" s="130"/>
      <c r="Z253" s="130"/>
      <c r="AA253" s="130"/>
      <c r="AB253" s="130"/>
      <c r="AC253" s="130"/>
      <c r="AD253" s="130"/>
      <c r="AI253" s="166"/>
      <c r="AJ253" s="130"/>
      <c r="AK253" s="130"/>
      <c r="AL253" s="130"/>
      <c r="AM253" s="130"/>
      <c r="AN253" s="130"/>
      <c r="AP253" s="32"/>
    </row>
    <row r="254" spans="1:58" x14ac:dyDescent="0.25">
      <c r="A254" s="148"/>
      <c r="B254" s="153"/>
      <c r="C254" s="119"/>
      <c r="D254" s="119"/>
      <c r="E254" s="154"/>
      <c r="F254" s="45"/>
      <c r="P254" s="130"/>
      <c r="S254" s="130"/>
      <c r="T254" s="130"/>
      <c r="U254" s="130"/>
      <c r="V254" s="130"/>
      <c r="W254" s="130"/>
      <c r="Y254" s="130"/>
      <c r="Z254" s="130"/>
      <c r="AA254" s="130"/>
      <c r="AB254" s="130"/>
      <c r="AC254" s="130"/>
      <c r="AD254" s="130"/>
      <c r="AI254" s="166"/>
      <c r="AJ254" s="130"/>
      <c r="AK254" s="130"/>
      <c r="AL254" s="130"/>
      <c r="AM254" s="130"/>
      <c r="AN254" s="130"/>
      <c r="AP254" s="32"/>
    </row>
    <row r="255" spans="1:58" x14ac:dyDescent="0.25">
      <c r="A255" s="148"/>
      <c r="B255" s="153"/>
      <c r="C255" s="119"/>
      <c r="D255" s="119"/>
      <c r="E255" s="154"/>
      <c r="F255" s="45"/>
      <c r="P255" s="130"/>
      <c r="S255" s="130"/>
      <c r="T255" s="130"/>
      <c r="U255" s="130"/>
      <c r="V255" s="130"/>
      <c r="W255" s="130"/>
      <c r="Y255" s="130"/>
      <c r="Z255" s="130"/>
      <c r="AA255" s="130"/>
      <c r="AB255" s="130"/>
      <c r="AC255" s="130"/>
      <c r="AD255" s="130"/>
      <c r="AI255" s="166"/>
      <c r="AJ255" s="130"/>
      <c r="AK255" s="130"/>
      <c r="AL255" s="130"/>
      <c r="AM255" s="130"/>
      <c r="AN255" s="130"/>
      <c r="AP255" s="32"/>
    </row>
    <row r="256" spans="1:58" x14ac:dyDescent="0.25">
      <c r="A256" s="148"/>
      <c r="B256" s="153"/>
      <c r="C256" s="119"/>
      <c r="D256" s="119"/>
      <c r="E256" s="154"/>
      <c r="F256" s="45"/>
      <c r="P256" s="130"/>
      <c r="S256" s="130"/>
      <c r="T256" s="130"/>
      <c r="U256" s="130"/>
      <c r="V256" s="130"/>
      <c r="W256" s="130"/>
      <c r="Y256" s="130"/>
      <c r="Z256" s="130"/>
      <c r="AA256" s="130"/>
      <c r="AB256" s="130"/>
      <c r="AC256" s="130"/>
      <c r="AD256" s="130"/>
      <c r="AI256" s="166"/>
      <c r="AJ256" s="130"/>
      <c r="AK256" s="130"/>
      <c r="AL256" s="130"/>
      <c r="AM256" s="130"/>
      <c r="AN256" s="130"/>
      <c r="AP256" s="32"/>
    </row>
    <row r="257" spans="1:42" x14ac:dyDescent="0.25">
      <c r="A257" s="148"/>
      <c r="B257" s="153"/>
      <c r="C257" s="119"/>
      <c r="D257" s="119"/>
      <c r="E257" s="154"/>
      <c r="F257" s="45"/>
      <c r="P257" s="130"/>
      <c r="S257" s="130"/>
      <c r="T257" s="130"/>
      <c r="U257" s="130"/>
      <c r="V257" s="130"/>
      <c r="W257" s="130"/>
      <c r="Y257" s="130"/>
      <c r="Z257" s="130"/>
      <c r="AA257" s="130"/>
      <c r="AB257" s="130"/>
      <c r="AC257" s="130"/>
      <c r="AD257" s="130"/>
      <c r="AI257" s="166"/>
      <c r="AJ257" s="130"/>
      <c r="AK257" s="130"/>
      <c r="AL257" s="130"/>
      <c r="AM257" s="130"/>
      <c r="AN257" s="130"/>
      <c r="AP257" s="32"/>
    </row>
    <row r="258" spans="1:42" x14ac:dyDescent="0.25">
      <c r="A258" s="148"/>
      <c r="B258" s="153"/>
      <c r="C258" s="119"/>
      <c r="D258" s="119"/>
      <c r="E258" s="154"/>
      <c r="F258" s="45"/>
      <c r="P258" s="130"/>
      <c r="S258" s="130"/>
      <c r="T258" s="130"/>
      <c r="U258" s="130"/>
      <c r="V258" s="130"/>
      <c r="W258" s="130"/>
      <c r="Y258" s="130"/>
      <c r="Z258" s="130"/>
      <c r="AA258" s="130"/>
      <c r="AB258" s="130"/>
      <c r="AC258" s="130"/>
      <c r="AD258" s="130"/>
      <c r="AI258" s="166"/>
      <c r="AJ258" s="130"/>
      <c r="AK258" s="130"/>
      <c r="AL258" s="130"/>
      <c r="AM258" s="130"/>
      <c r="AN258" s="130"/>
      <c r="AP258" s="32"/>
    </row>
    <row r="259" spans="1:42" x14ac:dyDescent="0.25">
      <c r="A259" s="148"/>
      <c r="B259" s="153"/>
      <c r="C259" s="119"/>
      <c r="D259" s="119"/>
      <c r="E259" s="154"/>
      <c r="F259" s="45"/>
      <c r="P259" s="130"/>
      <c r="S259" s="130"/>
      <c r="T259" s="130"/>
      <c r="U259" s="130"/>
      <c r="V259" s="130"/>
      <c r="W259" s="130"/>
      <c r="Y259" s="130"/>
      <c r="Z259" s="130"/>
      <c r="AA259" s="130"/>
      <c r="AB259" s="130"/>
      <c r="AC259" s="130"/>
      <c r="AD259" s="130"/>
      <c r="AI259" s="166"/>
      <c r="AJ259" s="130"/>
      <c r="AK259" s="130"/>
      <c r="AL259" s="130"/>
      <c r="AM259" s="130"/>
      <c r="AN259" s="130"/>
      <c r="AP259" s="32"/>
    </row>
    <row r="260" spans="1:42" x14ac:dyDescent="0.25">
      <c r="A260" s="148"/>
      <c r="B260" s="153"/>
      <c r="C260" s="119"/>
      <c r="D260" s="119"/>
      <c r="E260" s="154"/>
      <c r="F260" s="45"/>
      <c r="P260" s="130"/>
      <c r="S260" s="130"/>
      <c r="T260" s="130"/>
      <c r="U260" s="130"/>
      <c r="V260" s="130"/>
      <c r="W260" s="130"/>
      <c r="Y260" s="130"/>
      <c r="Z260" s="130"/>
      <c r="AA260" s="130"/>
      <c r="AB260" s="130"/>
      <c r="AC260" s="130"/>
      <c r="AD260" s="130"/>
      <c r="AI260" s="166"/>
      <c r="AJ260" s="130"/>
      <c r="AK260" s="130"/>
      <c r="AL260" s="130"/>
      <c r="AM260" s="130"/>
      <c r="AN260" s="130"/>
      <c r="AP260" s="32"/>
    </row>
    <row r="261" spans="1:42" x14ac:dyDescent="0.25">
      <c r="A261" s="148"/>
      <c r="B261" s="153"/>
      <c r="C261" s="119"/>
      <c r="D261" s="119"/>
      <c r="E261" s="154"/>
      <c r="F261" s="45"/>
      <c r="P261" s="130"/>
      <c r="S261" s="130"/>
      <c r="T261" s="130"/>
      <c r="U261" s="130"/>
      <c r="V261" s="130"/>
      <c r="W261" s="130"/>
      <c r="Y261" s="130"/>
      <c r="Z261" s="130"/>
      <c r="AA261" s="130"/>
      <c r="AB261" s="130"/>
      <c r="AC261" s="130"/>
      <c r="AD261" s="130"/>
      <c r="AI261" s="166"/>
      <c r="AJ261" s="130"/>
      <c r="AK261" s="130"/>
      <c r="AL261" s="130"/>
      <c r="AM261" s="130"/>
      <c r="AN261" s="130"/>
      <c r="AP261" s="32"/>
    </row>
    <row r="262" spans="1:42" x14ac:dyDescent="0.25">
      <c r="A262" s="148"/>
      <c r="B262" s="153"/>
      <c r="C262" s="119"/>
      <c r="D262" s="119"/>
      <c r="E262" s="154"/>
      <c r="F262" s="45"/>
      <c r="P262" s="130"/>
      <c r="S262" s="130"/>
      <c r="T262" s="130"/>
      <c r="U262" s="130"/>
      <c r="V262" s="130"/>
      <c r="W262" s="130"/>
      <c r="Y262" s="130"/>
      <c r="Z262" s="130"/>
      <c r="AA262" s="130"/>
      <c r="AB262" s="130"/>
      <c r="AC262" s="130"/>
      <c r="AD262" s="130"/>
      <c r="AI262" s="166"/>
      <c r="AJ262" s="130"/>
      <c r="AK262" s="130"/>
      <c r="AL262" s="130"/>
      <c r="AM262" s="130"/>
      <c r="AN262" s="130"/>
      <c r="AP262" s="32"/>
    </row>
    <row r="263" spans="1:42" x14ac:dyDescent="0.25">
      <c r="A263" s="148"/>
      <c r="B263" s="153"/>
      <c r="C263" s="119"/>
      <c r="D263" s="119"/>
      <c r="E263" s="154"/>
      <c r="F263" s="45"/>
      <c r="P263" s="130"/>
      <c r="S263" s="130"/>
      <c r="T263" s="130"/>
      <c r="U263" s="130"/>
      <c r="V263" s="130"/>
      <c r="W263" s="130"/>
      <c r="Y263" s="130"/>
      <c r="Z263" s="130"/>
      <c r="AA263" s="130"/>
      <c r="AB263" s="130"/>
      <c r="AC263" s="130"/>
      <c r="AD263" s="130"/>
      <c r="AI263" s="166"/>
      <c r="AJ263" s="130"/>
      <c r="AK263" s="130"/>
      <c r="AL263" s="130"/>
      <c r="AM263" s="130"/>
      <c r="AN263" s="130"/>
      <c r="AP263" s="32"/>
    </row>
    <row r="264" spans="1:42" x14ac:dyDescent="0.25">
      <c r="A264" s="148"/>
      <c r="B264" s="153"/>
      <c r="C264" s="119"/>
      <c r="D264" s="119"/>
      <c r="E264" s="154"/>
      <c r="F264" s="45"/>
      <c r="P264" s="130"/>
      <c r="S264" s="130"/>
      <c r="T264" s="130"/>
      <c r="U264" s="130"/>
      <c r="V264" s="130"/>
      <c r="W264" s="130"/>
      <c r="Y264" s="130"/>
      <c r="Z264" s="130"/>
      <c r="AA264" s="130"/>
      <c r="AB264" s="130"/>
      <c r="AC264" s="130"/>
      <c r="AD264" s="130"/>
      <c r="AI264" s="166"/>
      <c r="AJ264" s="130"/>
      <c r="AK264" s="130"/>
      <c r="AL264" s="130"/>
      <c r="AM264" s="130"/>
      <c r="AN264" s="130"/>
      <c r="AP264" s="32"/>
    </row>
    <row r="265" spans="1:42" x14ac:dyDescent="0.25">
      <c r="A265" s="148"/>
      <c r="B265" s="153"/>
      <c r="C265" s="119"/>
      <c r="D265" s="119"/>
      <c r="E265" s="154"/>
      <c r="F265" s="45"/>
      <c r="P265" s="130"/>
      <c r="S265" s="130"/>
      <c r="T265" s="130"/>
      <c r="U265" s="130"/>
      <c r="V265" s="130"/>
      <c r="W265" s="130"/>
      <c r="Y265" s="130"/>
      <c r="Z265" s="130"/>
      <c r="AA265" s="130"/>
      <c r="AB265" s="130"/>
      <c r="AC265" s="130"/>
      <c r="AD265" s="130"/>
      <c r="AI265" s="166"/>
      <c r="AJ265" s="130"/>
      <c r="AK265" s="130"/>
      <c r="AL265" s="130"/>
      <c r="AM265" s="130"/>
      <c r="AN265" s="130"/>
      <c r="AP265" s="32"/>
    </row>
    <row r="266" spans="1:42" x14ac:dyDescent="0.25">
      <c r="A266" s="148"/>
      <c r="B266" s="153"/>
      <c r="C266" s="119"/>
      <c r="D266" s="119"/>
      <c r="E266" s="154"/>
      <c r="F266" s="45"/>
      <c r="P266" s="130"/>
      <c r="S266" s="130"/>
      <c r="T266" s="130"/>
      <c r="U266" s="130"/>
      <c r="V266" s="130"/>
      <c r="W266" s="130"/>
      <c r="Y266" s="130"/>
      <c r="Z266" s="130"/>
      <c r="AA266" s="130"/>
      <c r="AB266" s="130"/>
      <c r="AC266" s="130"/>
      <c r="AD266" s="130"/>
      <c r="AI266" s="166"/>
      <c r="AJ266" s="130"/>
      <c r="AK266" s="130"/>
      <c r="AL266" s="130"/>
      <c r="AM266" s="130"/>
      <c r="AN266" s="130"/>
      <c r="AP266" s="32"/>
    </row>
    <row r="267" spans="1:42" x14ac:dyDescent="0.25">
      <c r="A267" s="148"/>
      <c r="B267" s="153"/>
      <c r="C267" s="119"/>
      <c r="D267" s="119"/>
      <c r="E267" s="154"/>
      <c r="F267" s="45"/>
      <c r="P267" s="130"/>
      <c r="S267" s="130"/>
      <c r="T267" s="130"/>
      <c r="U267" s="130"/>
      <c r="V267" s="130"/>
      <c r="W267" s="130"/>
      <c r="Y267" s="130"/>
      <c r="Z267" s="130"/>
      <c r="AA267" s="130"/>
      <c r="AB267" s="130"/>
      <c r="AC267" s="130"/>
      <c r="AD267" s="130"/>
      <c r="AI267" s="166"/>
      <c r="AJ267" s="130"/>
      <c r="AK267" s="130"/>
      <c r="AL267" s="130"/>
      <c r="AM267" s="130"/>
      <c r="AN267" s="130"/>
      <c r="AP267" s="32"/>
    </row>
    <row r="268" spans="1:42" x14ac:dyDescent="0.25">
      <c r="A268" s="148"/>
      <c r="B268" s="153"/>
      <c r="C268" s="119"/>
      <c r="D268" s="119"/>
      <c r="E268" s="154"/>
      <c r="F268" s="45"/>
      <c r="P268" s="130"/>
      <c r="S268" s="130"/>
      <c r="T268" s="130"/>
      <c r="U268" s="130"/>
      <c r="V268" s="130"/>
      <c r="W268" s="130"/>
      <c r="Y268" s="130"/>
      <c r="Z268" s="130"/>
      <c r="AA268" s="130"/>
      <c r="AB268" s="130"/>
      <c r="AC268" s="130"/>
      <c r="AD268" s="130"/>
      <c r="AI268" s="166"/>
      <c r="AJ268" s="130"/>
      <c r="AK268" s="130"/>
      <c r="AL268" s="130"/>
      <c r="AM268" s="130"/>
      <c r="AN268" s="130"/>
      <c r="AP268" s="32"/>
    </row>
    <row r="269" spans="1:42" x14ac:dyDescent="0.25">
      <c r="A269" s="148"/>
      <c r="B269" s="153"/>
      <c r="C269" s="119"/>
      <c r="D269" s="119"/>
      <c r="E269" s="154"/>
      <c r="F269" s="45"/>
      <c r="P269" s="130"/>
      <c r="S269" s="130"/>
      <c r="T269" s="130"/>
      <c r="U269" s="130"/>
      <c r="V269" s="130"/>
      <c r="W269" s="130"/>
      <c r="Y269" s="130"/>
      <c r="Z269" s="130"/>
      <c r="AA269" s="130"/>
      <c r="AB269" s="130"/>
      <c r="AC269" s="130"/>
      <c r="AD269" s="130"/>
      <c r="AI269" s="166"/>
      <c r="AJ269" s="130"/>
      <c r="AK269" s="130"/>
      <c r="AL269" s="130"/>
      <c r="AM269" s="130"/>
      <c r="AN269" s="130"/>
      <c r="AP269" s="32"/>
    </row>
    <row r="270" spans="1:42" x14ac:dyDescent="0.25">
      <c r="A270" s="148"/>
      <c r="B270" s="153"/>
      <c r="C270" s="119"/>
      <c r="D270" s="119"/>
      <c r="E270" s="154"/>
      <c r="F270" s="45"/>
      <c r="P270" s="130"/>
      <c r="S270" s="130"/>
      <c r="T270" s="130"/>
      <c r="U270" s="130"/>
      <c r="V270" s="130"/>
      <c r="W270" s="130"/>
      <c r="Y270" s="130"/>
      <c r="Z270" s="130"/>
      <c r="AA270" s="130"/>
      <c r="AB270" s="130"/>
      <c r="AC270" s="130"/>
      <c r="AD270" s="130"/>
      <c r="AI270" s="166"/>
      <c r="AJ270" s="130"/>
      <c r="AK270" s="130"/>
      <c r="AL270" s="130"/>
      <c r="AM270" s="130"/>
      <c r="AN270" s="130"/>
      <c r="AP270" s="32"/>
    </row>
    <row r="271" spans="1:42" x14ac:dyDescent="0.25">
      <c r="A271" s="148"/>
      <c r="B271" s="153"/>
      <c r="C271" s="119"/>
      <c r="D271" s="119"/>
      <c r="E271" s="154"/>
      <c r="F271" s="45"/>
      <c r="P271" s="130"/>
      <c r="S271" s="130"/>
      <c r="T271" s="130"/>
      <c r="U271" s="130"/>
      <c r="V271" s="130"/>
      <c r="W271" s="130"/>
      <c r="Y271" s="130"/>
      <c r="Z271" s="130"/>
      <c r="AA271" s="130"/>
      <c r="AB271" s="130"/>
      <c r="AC271" s="130"/>
      <c r="AD271" s="130"/>
      <c r="AI271" s="166"/>
      <c r="AJ271" s="130"/>
      <c r="AK271" s="130"/>
      <c r="AL271" s="130"/>
      <c r="AM271" s="130"/>
      <c r="AN271" s="130"/>
      <c r="AP271" s="32"/>
    </row>
    <row r="272" spans="1:42" x14ac:dyDescent="0.25">
      <c r="A272" s="148"/>
      <c r="B272" s="153"/>
      <c r="C272" s="119"/>
      <c r="D272" s="119"/>
      <c r="E272" s="154"/>
      <c r="F272" s="45"/>
      <c r="P272" s="130"/>
      <c r="S272" s="130"/>
      <c r="T272" s="130"/>
      <c r="U272" s="130"/>
      <c r="V272" s="130"/>
      <c r="W272" s="130"/>
      <c r="Y272" s="130"/>
      <c r="Z272" s="130"/>
      <c r="AA272" s="130"/>
      <c r="AB272" s="130"/>
      <c r="AC272" s="130"/>
      <c r="AD272" s="130"/>
      <c r="AI272" s="166"/>
      <c r="AJ272" s="130"/>
      <c r="AK272" s="130"/>
      <c r="AL272" s="130"/>
      <c r="AM272" s="130"/>
      <c r="AN272" s="130"/>
      <c r="AP272" s="32"/>
    </row>
    <row r="273" spans="1:42" x14ac:dyDescent="0.25">
      <c r="A273" s="148"/>
      <c r="B273" s="153"/>
      <c r="C273" s="119"/>
      <c r="D273" s="119"/>
      <c r="E273" s="154"/>
      <c r="F273" s="45"/>
      <c r="P273" s="130"/>
      <c r="S273" s="130"/>
      <c r="T273" s="130"/>
      <c r="U273" s="130"/>
      <c r="V273" s="130"/>
      <c r="W273" s="130"/>
      <c r="Y273" s="130"/>
      <c r="Z273" s="130"/>
      <c r="AA273" s="130"/>
      <c r="AB273" s="130"/>
      <c r="AC273" s="130"/>
      <c r="AD273" s="130"/>
      <c r="AI273" s="166"/>
      <c r="AJ273" s="130"/>
      <c r="AK273" s="130"/>
      <c r="AL273" s="130"/>
      <c r="AM273" s="130"/>
      <c r="AN273" s="130"/>
      <c r="AP273" s="32"/>
    </row>
    <row r="274" spans="1:42" x14ac:dyDescent="0.25">
      <c r="A274" s="148"/>
      <c r="B274" s="153"/>
      <c r="C274" s="119"/>
      <c r="D274" s="119"/>
      <c r="E274" s="154"/>
      <c r="F274" s="45"/>
      <c r="P274" s="130"/>
      <c r="S274" s="130"/>
      <c r="T274" s="130"/>
      <c r="U274" s="130"/>
      <c r="V274" s="130"/>
      <c r="W274" s="130"/>
      <c r="Y274" s="130"/>
      <c r="Z274" s="130"/>
      <c r="AA274" s="130"/>
      <c r="AB274" s="130"/>
      <c r="AC274" s="130"/>
      <c r="AD274" s="130"/>
      <c r="AI274" s="166"/>
      <c r="AJ274" s="130"/>
      <c r="AK274" s="130"/>
      <c r="AL274" s="130"/>
      <c r="AM274" s="130"/>
      <c r="AN274" s="130"/>
      <c r="AP274" s="32"/>
    </row>
    <row r="275" spans="1:42" x14ac:dyDescent="0.25">
      <c r="A275" s="148"/>
      <c r="B275" s="153"/>
      <c r="C275" s="119"/>
      <c r="D275" s="119"/>
      <c r="E275" s="154"/>
      <c r="F275" s="45"/>
      <c r="P275" s="130"/>
      <c r="S275" s="130"/>
      <c r="T275" s="130"/>
      <c r="U275" s="130"/>
      <c r="V275" s="130"/>
      <c r="W275" s="130"/>
      <c r="Y275" s="130"/>
      <c r="Z275" s="130"/>
      <c r="AA275" s="130"/>
      <c r="AB275" s="130"/>
      <c r="AC275" s="130"/>
      <c r="AD275" s="130"/>
      <c r="AI275" s="166"/>
      <c r="AJ275" s="130"/>
      <c r="AK275" s="130"/>
      <c r="AL275" s="130"/>
      <c r="AM275" s="130"/>
      <c r="AN275" s="130"/>
      <c r="AP275" s="32"/>
    </row>
    <row r="276" spans="1:42" x14ac:dyDescent="0.25">
      <c r="A276" s="148"/>
      <c r="B276" s="153"/>
      <c r="C276" s="119"/>
      <c r="D276" s="119"/>
      <c r="E276" s="154"/>
      <c r="F276" s="45"/>
      <c r="P276" s="130"/>
      <c r="S276" s="130"/>
      <c r="T276" s="130"/>
      <c r="U276" s="130"/>
      <c r="V276" s="130"/>
      <c r="W276" s="130"/>
      <c r="Y276" s="130"/>
      <c r="Z276" s="130"/>
      <c r="AA276" s="130"/>
      <c r="AB276" s="130"/>
      <c r="AC276" s="130"/>
      <c r="AD276" s="130"/>
      <c r="AI276" s="166"/>
      <c r="AJ276" s="130"/>
      <c r="AK276" s="130"/>
      <c r="AL276" s="130"/>
      <c r="AM276" s="130"/>
      <c r="AN276" s="130"/>
      <c r="AP276" s="32"/>
    </row>
    <row r="277" spans="1:42" x14ac:dyDescent="0.25">
      <c r="A277" s="148"/>
      <c r="B277" s="153"/>
      <c r="C277" s="119"/>
      <c r="D277" s="119"/>
      <c r="E277" s="154"/>
      <c r="F277" s="45"/>
      <c r="P277" s="130"/>
      <c r="S277" s="130"/>
      <c r="T277" s="130"/>
      <c r="U277" s="130"/>
      <c r="V277" s="130"/>
      <c r="W277" s="130"/>
      <c r="Y277" s="130"/>
      <c r="Z277" s="130"/>
      <c r="AA277" s="130"/>
      <c r="AB277" s="130"/>
      <c r="AC277" s="130"/>
      <c r="AD277" s="130"/>
      <c r="AI277" s="166"/>
      <c r="AJ277" s="130"/>
      <c r="AK277" s="130"/>
      <c r="AL277" s="130"/>
      <c r="AM277" s="130"/>
      <c r="AN277" s="130"/>
      <c r="AP277" s="32"/>
    </row>
    <row r="278" spans="1:42" x14ac:dyDescent="0.25">
      <c r="A278" s="148"/>
      <c r="B278" s="153"/>
      <c r="C278" s="119"/>
      <c r="D278" s="119"/>
      <c r="E278" s="154"/>
      <c r="F278" s="45"/>
      <c r="P278" s="130"/>
      <c r="S278" s="130"/>
      <c r="T278" s="130"/>
      <c r="U278" s="130"/>
      <c r="V278" s="130"/>
      <c r="W278" s="130"/>
      <c r="Y278" s="130"/>
      <c r="Z278" s="130"/>
      <c r="AA278" s="130"/>
      <c r="AB278" s="130"/>
      <c r="AC278" s="130"/>
      <c r="AD278" s="130"/>
      <c r="AI278" s="166"/>
      <c r="AJ278" s="130"/>
      <c r="AK278" s="130"/>
      <c r="AL278" s="130"/>
      <c r="AM278" s="130"/>
      <c r="AN278" s="130"/>
      <c r="AP278" s="32"/>
    </row>
    <row r="279" spans="1:42" x14ac:dyDescent="0.25">
      <c r="A279" s="148"/>
      <c r="B279" s="153"/>
      <c r="C279" s="119"/>
      <c r="D279" s="119"/>
      <c r="E279" s="154"/>
      <c r="F279" s="45"/>
      <c r="P279" s="130"/>
      <c r="S279" s="130"/>
      <c r="T279" s="130"/>
      <c r="U279" s="130"/>
      <c r="V279" s="130"/>
      <c r="W279" s="130"/>
      <c r="Y279" s="130"/>
      <c r="Z279" s="130"/>
      <c r="AA279" s="130"/>
      <c r="AB279" s="130"/>
      <c r="AC279" s="130"/>
      <c r="AD279" s="130"/>
      <c r="AI279" s="166"/>
      <c r="AJ279" s="130"/>
      <c r="AK279" s="130"/>
      <c r="AL279" s="130"/>
      <c r="AM279" s="130"/>
      <c r="AN279" s="130"/>
      <c r="AP279" s="32"/>
    </row>
    <row r="280" spans="1:42" x14ac:dyDescent="0.25">
      <c r="A280" s="148"/>
      <c r="B280" s="153"/>
      <c r="C280" s="119"/>
      <c r="D280" s="119"/>
      <c r="E280" s="154"/>
      <c r="F280" s="45"/>
      <c r="P280" s="130"/>
      <c r="S280" s="130"/>
      <c r="T280" s="130"/>
      <c r="U280" s="130"/>
      <c r="V280" s="130"/>
      <c r="W280" s="130"/>
      <c r="Y280" s="130"/>
      <c r="Z280" s="130"/>
      <c r="AA280" s="130"/>
      <c r="AB280" s="130"/>
      <c r="AC280" s="130"/>
      <c r="AD280" s="130"/>
      <c r="AI280" s="166"/>
      <c r="AJ280" s="130"/>
      <c r="AK280" s="130"/>
      <c r="AL280" s="130"/>
      <c r="AM280" s="130"/>
      <c r="AN280" s="130"/>
      <c r="AP280" s="32"/>
    </row>
    <row r="281" spans="1:42" x14ac:dyDescent="0.25">
      <c r="A281" s="148"/>
      <c r="B281" s="153"/>
      <c r="C281" s="119"/>
      <c r="D281" s="119"/>
      <c r="E281" s="154"/>
      <c r="F281" s="45"/>
      <c r="P281" s="130"/>
      <c r="S281" s="130"/>
      <c r="T281" s="130"/>
      <c r="U281" s="130"/>
      <c r="V281" s="130"/>
      <c r="W281" s="130"/>
      <c r="Y281" s="130"/>
      <c r="Z281" s="130"/>
      <c r="AA281" s="130"/>
      <c r="AB281" s="130"/>
      <c r="AC281" s="130"/>
      <c r="AD281" s="130"/>
      <c r="AI281" s="166"/>
      <c r="AJ281" s="130"/>
      <c r="AK281" s="130"/>
      <c r="AL281" s="130"/>
      <c r="AM281" s="130"/>
      <c r="AN281" s="130"/>
      <c r="AP281" s="32"/>
    </row>
    <row r="282" spans="1:42" x14ac:dyDescent="0.25">
      <c r="A282" s="148"/>
      <c r="B282" s="153"/>
      <c r="C282" s="119"/>
      <c r="D282" s="119"/>
      <c r="E282" s="154"/>
      <c r="F282" s="45"/>
      <c r="P282" s="130"/>
      <c r="S282" s="130"/>
      <c r="T282" s="130"/>
      <c r="U282" s="130"/>
      <c r="V282" s="130"/>
      <c r="W282" s="130"/>
      <c r="Y282" s="130"/>
      <c r="Z282" s="130"/>
      <c r="AA282" s="130"/>
      <c r="AB282" s="130"/>
      <c r="AC282" s="130"/>
      <c r="AD282" s="130"/>
      <c r="AI282" s="166"/>
      <c r="AJ282" s="130"/>
      <c r="AK282" s="130"/>
      <c r="AL282" s="130"/>
      <c r="AM282" s="130"/>
      <c r="AN282" s="130"/>
      <c r="AP282" s="32"/>
    </row>
    <row r="283" spans="1:42" x14ac:dyDescent="0.25">
      <c r="A283" s="148"/>
      <c r="B283" s="153"/>
      <c r="C283" s="119"/>
      <c r="D283" s="119"/>
      <c r="E283" s="154"/>
      <c r="F283" s="45"/>
      <c r="P283" s="130"/>
      <c r="S283" s="130"/>
      <c r="T283" s="130"/>
      <c r="U283" s="130"/>
      <c r="V283" s="130"/>
      <c r="W283" s="130"/>
      <c r="Y283" s="130"/>
      <c r="Z283" s="130"/>
      <c r="AA283" s="130"/>
      <c r="AB283" s="130"/>
      <c r="AC283" s="130"/>
      <c r="AD283" s="130"/>
      <c r="AI283" s="166"/>
      <c r="AJ283" s="130"/>
      <c r="AK283" s="130"/>
      <c r="AL283" s="130"/>
      <c r="AM283" s="130"/>
      <c r="AN283" s="130"/>
      <c r="AP283" s="32"/>
    </row>
    <row r="284" spans="1:42" x14ac:dyDescent="0.25">
      <c r="A284" s="148"/>
      <c r="B284" s="153"/>
      <c r="C284" s="119"/>
      <c r="D284" s="119"/>
      <c r="E284" s="154"/>
      <c r="F284" s="45"/>
      <c r="P284" s="130"/>
      <c r="S284" s="130"/>
      <c r="T284" s="130"/>
      <c r="U284" s="130"/>
      <c r="V284" s="130"/>
      <c r="W284" s="130"/>
      <c r="Y284" s="130"/>
      <c r="Z284" s="130"/>
      <c r="AA284" s="130"/>
      <c r="AB284" s="130"/>
      <c r="AC284" s="130"/>
      <c r="AD284" s="130"/>
      <c r="AI284" s="166"/>
      <c r="AJ284" s="130"/>
      <c r="AK284" s="130"/>
      <c r="AL284" s="130"/>
      <c r="AM284" s="130"/>
      <c r="AN284" s="130"/>
      <c r="AP284" s="32"/>
    </row>
    <row r="285" spans="1:42" x14ac:dyDescent="0.25">
      <c r="A285" s="148"/>
      <c r="B285" s="153"/>
      <c r="C285" s="119"/>
      <c r="D285" s="119"/>
      <c r="E285" s="154"/>
      <c r="F285" s="45"/>
      <c r="P285" s="130"/>
      <c r="S285" s="130"/>
      <c r="T285" s="130"/>
      <c r="U285" s="130"/>
      <c r="V285" s="130"/>
      <c r="W285" s="130"/>
      <c r="Y285" s="130"/>
      <c r="Z285" s="130"/>
      <c r="AA285" s="130"/>
      <c r="AB285" s="130"/>
      <c r="AC285" s="130"/>
      <c r="AD285" s="130"/>
      <c r="AI285" s="166"/>
      <c r="AJ285" s="130"/>
      <c r="AK285" s="130"/>
      <c r="AL285" s="130"/>
      <c r="AM285" s="130"/>
      <c r="AN285" s="130"/>
      <c r="AP285" s="32"/>
    </row>
    <row r="286" spans="1:42" x14ac:dyDescent="0.25">
      <c r="A286" s="148"/>
      <c r="B286" s="153"/>
      <c r="C286" s="119"/>
      <c r="D286" s="119"/>
      <c r="E286" s="154"/>
      <c r="F286" s="45"/>
      <c r="P286" s="130"/>
      <c r="S286" s="130"/>
      <c r="T286" s="130"/>
      <c r="U286" s="130"/>
      <c r="V286" s="130"/>
      <c r="W286" s="130"/>
      <c r="Y286" s="130"/>
      <c r="Z286" s="130"/>
      <c r="AA286" s="130"/>
      <c r="AB286" s="130"/>
      <c r="AC286" s="130"/>
      <c r="AD286" s="130"/>
      <c r="AI286" s="166"/>
      <c r="AJ286" s="130"/>
      <c r="AK286" s="130"/>
      <c r="AL286" s="130"/>
      <c r="AM286" s="130"/>
      <c r="AN286" s="130"/>
      <c r="AP286" s="32"/>
    </row>
    <row r="287" spans="1:42" x14ac:dyDescent="0.25">
      <c r="A287" s="148"/>
      <c r="B287" s="153"/>
      <c r="C287" s="119"/>
      <c r="D287" s="119"/>
      <c r="E287" s="154"/>
      <c r="F287" s="45"/>
      <c r="P287" s="130"/>
      <c r="S287" s="130"/>
      <c r="T287" s="130"/>
      <c r="U287" s="130"/>
      <c r="V287" s="130"/>
      <c r="W287" s="130"/>
      <c r="Y287" s="130"/>
      <c r="Z287" s="130"/>
      <c r="AA287" s="130"/>
      <c r="AB287" s="130"/>
      <c r="AC287" s="130"/>
      <c r="AD287" s="130"/>
      <c r="AI287" s="166"/>
      <c r="AJ287" s="130"/>
      <c r="AK287" s="130"/>
      <c r="AL287" s="130"/>
      <c r="AM287" s="130"/>
      <c r="AN287" s="130"/>
      <c r="AP287" s="32"/>
    </row>
    <row r="288" spans="1:42" x14ac:dyDescent="0.25">
      <c r="A288" s="148"/>
      <c r="B288" s="153"/>
      <c r="C288" s="119"/>
      <c r="D288" s="119"/>
      <c r="E288" s="154"/>
      <c r="F288" s="45"/>
      <c r="P288" s="130"/>
      <c r="S288" s="130"/>
      <c r="T288" s="130"/>
      <c r="U288" s="130"/>
      <c r="V288" s="130"/>
      <c r="W288" s="130"/>
      <c r="Y288" s="130"/>
      <c r="Z288" s="130"/>
      <c r="AA288" s="130"/>
      <c r="AB288" s="130"/>
      <c r="AC288" s="130"/>
      <c r="AD288" s="130"/>
      <c r="AI288" s="166"/>
      <c r="AJ288" s="130"/>
      <c r="AK288" s="130"/>
      <c r="AL288" s="130"/>
      <c r="AM288" s="130"/>
      <c r="AN288" s="130"/>
      <c r="AP288" s="32"/>
    </row>
    <row r="289" spans="1:42" x14ac:dyDescent="0.25">
      <c r="A289" s="148"/>
      <c r="B289" s="153"/>
      <c r="C289" s="119"/>
      <c r="D289" s="119"/>
      <c r="E289" s="154"/>
      <c r="F289" s="45"/>
      <c r="P289" s="130"/>
      <c r="S289" s="130"/>
      <c r="T289" s="130"/>
      <c r="U289" s="130"/>
      <c r="V289" s="130"/>
      <c r="W289" s="130"/>
      <c r="Y289" s="130"/>
      <c r="Z289" s="130"/>
      <c r="AA289" s="130"/>
      <c r="AB289" s="130"/>
      <c r="AC289" s="130"/>
      <c r="AD289" s="130"/>
      <c r="AI289" s="166"/>
      <c r="AJ289" s="130"/>
      <c r="AK289" s="130"/>
      <c r="AL289" s="130"/>
      <c r="AM289" s="130"/>
      <c r="AN289" s="130"/>
      <c r="AP289" s="32"/>
    </row>
    <row r="290" spans="1:42" x14ac:dyDescent="0.25">
      <c r="A290" s="148"/>
      <c r="B290" s="153"/>
      <c r="C290" s="119"/>
      <c r="D290" s="119"/>
      <c r="E290" s="154"/>
      <c r="F290" s="45"/>
      <c r="P290" s="130"/>
      <c r="S290" s="130"/>
      <c r="T290" s="130"/>
      <c r="U290" s="130"/>
      <c r="V290" s="130"/>
      <c r="W290" s="130"/>
      <c r="Y290" s="130"/>
      <c r="Z290" s="130"/>
      <c r="AA290" s="130"/>
      <c r="AB290" s="130"/>
      <c r="AC290" s="130"/>
      <c r="AD290" s="130"/>
      <c r="AI290" s="166"/>
      <c r="AJ290" s="130"/>
      <c r="AK290" s="130"/>
      <c r="AL290" s="130"/>
      <c r="AM290" s="130"/>
      <c r="AN290" s="130"/>
      <c r="AP290" s="32"/>
    </row>
    <row r="291" spans="1:42" x14ac:dyDescent="0.25">
      <c r="A291" s="148"/>
      <c r="B291" s="153"/>
      <c r="C291" s="119"/>
      <c r="D291" s="119"/>
      <c r="E291" s="154"/>
      <c r="F291" s="45"/>
      <c r="P291" s="130"/>
      <c r="S291" s="130"/>
      <c r="T291" s="130"/>
      <c r="U291" s="130"/>
      <c r="V291" s="130"/>
      <c r="W291" s="130"/>
      <c r="Y291" s="130"/>
      <c r="Z291" s="130"/>
      <c r="AA291" s="130"/>
      <c r="AB291" s="130"/>
      <c r="AC291" s="130"/>
      <c r="AD291" s="130"/>
      <c r="AI291" s="166"/>
      <c r="AJ291" s="130"/>
      <c r="AK291" s="130"/>
      <c r="AL291" s="130"/>
      <c r="AM291" s="130"/>
      <c r="AN291" s="130"/>
      <c r="AP291" s="32"/>
    </row>
    <row r="292" spans="1:42" x14ac:dyDescent="0.25">
      <c r="A292" s="148"/>
      <c r="B292" s="153"/>
      <c r="C292" s="119"/>
      <c r="D292" s="119"/>
      <c r="E292" s="154"/>
      <c r="F292" s="45"/>
      <c r="P292" s="130"/>
      <c r="S292" s="130"/>
      <c r="T292" s="130"/>
      <c r="U292" s="130"/>
      <c r="V292" s="130"/>
      <c r="W292" s="130"/>
      <c r="Y292" s="130"/>
      <c r="Z292" s="130"/>
      <c r="AA292" s="130"/>
      <c r="AB292" s="130"/>
      <c r="AC292" s="130"/>
      <c r="AD292" s="130"/>
      <c r="AI292" s="166"/>
      <c r="AJ292" s="130"/>
      <c r="AK292" s="130"/>
      <c r="AL292" s="130"/>
      <c r="AM292" s="130"/>
      <c r="AN292" s="130"/>
      <c r="AP292" s="32"/>
    </row>
    <row r="293" spans="1:42" x14ac:dyDescent="0.25">
      <c r="A293" s="148"/>
      <c r="B293" s="153"/>
      <c r="C293" s="119"/>
      <c r="D293" s="119"/>
      <c r="E293" s="154"/>
      <c r="F293" s="45"/>
      <c r="P293" s="130"/>
      <c r="S293" s="130"/>
      <c r="T293" s="130"/>
      <c r="U293" s="130"/>
      <c r="V293" s="130"/>
      <c r="W293" s="130"/>
      <c r="Y293" s="130"/>
      <c r="Z293" s="130"/>
      <c r="AA293" s="130"/>
      <c r="AB293" s="130"/>
      <c r="AC293" s="130"/>
      <c r="AD293" s="130"/>
      <c r="AI293" s="166"/>
      <c r="AJ293" s="130"/>
      <c r="AK293" s="130"/>
      <c r="AL293" s="130"/>
      <c r="AM293" s="130"/>
      <c r="AN293" s="130"/>
      <c r="AP293" s="32"/>
    </row>
    <row r="294" spans="1:42" x14ac:dyDescent="0.25">
      <c r="A294" s="148"/>
      <c r="B294" s="153"/>
      <c r="C294" s="119"/>
      <c r="D294" s="119"/>
      <c r="E294" s="154"/>
      <c r="F294" s="45"/>
      <c r="P294" s="130"/>
      <c r="S294" s="130"/>
      <c r="T294" s="130"/>
      <c r="U294" s="130"/>
      <c r="V294" s="130"/>
      <c r="W294" s="130"/>
      <c r="Y294" s="130"/>
      <c r="Z294" s="130"/>
      <c r="AA294" s="130"/>
      <c r="AB294" s="130"/>
      <c r="AC294" s="130"/>
      <c r="AD294" s="130"/>
      <c r="AI294" s="166"/>
      <c r="AJ294" s="130"/>
      <c r="AK294" s="130"/>
      <c r="AL294" s="130"/>
      <c r="AM294" s="130"/>
      <c r="AN294" s="130"/>
      <c r="AP294" s="32"/>
    </row>
    <row r="295" spans="1:42" x14ac:dyDescent="0.25">
      <c r="A295" s="148"/>
      <c r="B295" s="153"/>
      <c r="C295" s="119"/>
      <c r="D295" s="119"/>
      <c r="E295" s="154"/>
      <c r="F295" s="45"/>
      <c r="P295" s="130"/>
      <c r="S295" s="130"/>
      <c r="T295" s="130"/>
      <c r="U295" s="130"/>
      <c r="V295" s="130"/>
      <c r="W295" s="130"/>
      <c r="Y295" s="130"/>
      <c r="Z295" s="130"/>
      <c r="AA295" s="130"/>
      <c r="AB295" s="130"/>
      <c r="AC295" s="130"/>
      <c r="AD295" s="130"/>
      <c r="AI295" s="166"/>
      <c r="AJ295" s="130"/>
      <c r="AK295" s="130"/>
      <c r="AL295" s="130"/>
      <c r="AM295" s="130"/>
      <c r="AN295" s="130"/>
      <c r="AP295" s="32"/>
    </row>
    <row r="296" spans="1:42" x14ac:dyDescent="0.25">
      <c r="A296" s="148"/>
      <c r="B296" s="153"/>
      <c r="C296" s="119"/>
      <c r="D296" s="119"/>
      <c r="E296" s="154"/>
      <c r="F296" s="45"/>
      <c r="P296" s="130"/>
      <c r="S296" s="130"/>
      <c r="T296" s="130"/>
      <c r="U296" s="130"/>
      <c r="V296" s="130"/>
      <c r="W296" s="130"/>
      <c r="Y296" s="130"/>
      <c r="Z296" s="130"/>
      <c r="AA296" s="130"/>
      <c r="AB296" s="130"/>
      <c r="AC296" s="130"/>
      <c r="AD296" s="130"/>
      <c r="AI296" s="166"/>
      <c r="AJ296" s="130"/>
      <c r="AK296" s="130"/>
      <c r="AL296" s="130"/>
      <c r="AM296" s="130"/>
      <c r="AN296" s="130"/>
      <c r="AP296" s="32"/>
    </row>
    <row r="297" spans="1:42" x14ac:dyDescent="0.25">
      <c r="A297" s="148"/>
      <c r="B297" s="153"/>
      <c r="C297" s="119"/>
      <c r="D297" s="119"/>
      <c r="E297" s="154"/>
      <c r="F297" s="45"/>
      <c r="P297" s="130"/>
      <c r="S297" s="130"/>
      <c r="T297" s="130"/>
      <c r="U297" s="130"/>
      <c r="V297" s="130"/>
      <c r="W297" s="130"/>
      <c r="Y297" s="130"/>
      <c r="Z297" s="130"/>
      <c r="AA297" s="130"/>
      <c r="AB297" s="130"/>
      <c r="AC297" s="130"/>
      <c r="AD297" s="130"/>
      <c r="AI297" s="166"/>
      <c r="AJ297" s="130"/>
      <c r="AK297" s="130"/>
      <c r="AL297" s="130"/>
      <c r="AM297" s="130"/>
      <c r="AN297" s="130"/>
      <c r="AP297" s="32"/>
    </row>
    <row r="298" spans="1:42" x14ac:dyDescent="0.25">
      <c r="A298" s="148"/>
      <c r="B298" s="153"/>
      <c r="C298" s="119"/>
      <c r="D298" s="119"/>
      <c r="E298" s="154"/>
      <c r="F298" s="45"/>
      <c r="P298" s="130"/>
      <c r="S298" s="130"/>
      <c r="T298" s="130"/>
      <c r="U298" s="130"/>
      <c r="V298" s="130"/>
      <c r="W298" s="130"/>
      <c r="Y298" s="130"/>
      <c r="Z298" s="130"/>
      <c r="AA298" s="130"/>
      <c r="AB298" s="130"/>
      <c r="AC298" s="130"/>
      <c r="AD298" s="130"/>
      <c r="AI298" s="166"/>
      <c r="AJ298" s="130"/>
      <c r="AK298" s="130"/>
      <c r="AL298" s="130"/>
      <c r="AM298" s="130"/>
      <c r="AN298" s="130"/>
      <c r="AP298" s="32"/>
    </row>
    <row r="299" spans="1:42" x14ac:dyDescent="0.25">
      <c r="A299" s="148"/>
      <c r="B299" s="153"/>
      <c r="C299" s="119"/>
      <c r="D299" s="119"/>
      <c r="E299" s="154"/>
      <c r="F299" s="45"/>
      <c r="P299" s="130"/>
      <c r="S299" s="130"/>
      <c r="T299" s="130"/>
      <c r="U299" s="130"/>
      <c r="V299" s="130"/>
      <c r="W299" s="130"/>
      <c r="Y299" s="130"/>
      <c r="Z299" s="130"/>
      <c r="AA299" s="130"/>
      <c r="AB299" s="130"/>
      <c r="AC299" s="130"/>
      <c r="AD299" s="130"/>
      <c r="AI299" s="166"/>
      <c r="AJ299" s="130"/>
      <c r="AK299" s="130"/>
      <c r="AL299" s="130"/>
      <c r="AM299" s="130"/>
      <c r="AN299" s="130"/>
      <c r="AP299" s="32"/>
    </row>
    <row r="300" spans="1:42" x14ac:dyDescent="0.25">
      <c r="A300" s="148"/>
      <c r="B300" s="153"/>
      <c r="C300" s="119"/>
      <c r="D300" s="119"/>
      <c r="E300" s="154"/>
      <c r="F300" s="45"/>
      <c r="P300" s="130"/>
      <c r="S300" s="130"/>
      <c r="T300" s="130"/>
      <c r="U300" s="130"/>
      <c r="V300" s="130"/>
      <c r="W300" s="130"/>
      <c r="Y300" s="130"/>
      <c r="Z300" s="130"/>
      <c r="AA300" s="130"/>
      <c r="AB300" s="130"/>
      <c r="AC300" s="130"/>
      <c r="AD300" s="130"/>
      <c r="AI300" s="166"/>
      <c r="AJ300" s="130"/>
      <c r="AK300" s="130"/>
      <c r="AL300" s="130"/>
      <c r="AM300" s="130"/>
      <c r="AN300" s="130"/>
      <c r="AP300" s="32"/>
    </row>
    <row r="301" spans="1:42" x14ac:dyDescent="0.25">
      <c r="A301" s="148"/>
      <c r="B301" s="153"/>
      <c r="C301" s="119"/>
      <c r="D301" s="119"/>
      <c r="E301" s="154"/>
      <c r="F301" s="45"/>
      <c r="P301" s="130"/>
      <c r="S301" s="130"/>
      <c r="T301" s="130"/>
      <c r="U301" s="130"/>
      <c r="V301" s="130"/>
      <c r="W301" s="130"/>
      <c r="Y301" s="130"/>
      <c r="Z301" s="130"/>
      <c r="AA301" s="130"/>
      <c r="AB301" s="130"/>
      <c r="AC301" s="130"/>
      <c r="AD301" s="130"/>
      <c r="AI301" s="166"/>
      <c r="AJ301" s="130"/>
      <c r="AK301" s="130"/>
      <c r="AL301" s="130"/>
      <c r="AM301" s="130"/>
      <c r="AN301" s="130"/>
      <c r="AP301" s="32"/>
    </row>
    <row r="302" spans="1:42" x14ac:dyDescent="0.25">
      <c r="A302" s="148"/>
      <c r="B302" s="153"/>
      <c r="C302" s="119"/>
      <c r="D302" s="119"/>
      <c r="E302" s="154"/>
      <c r="F302" s="45"/>
      <c r="P302" s="130"/>
      <c r="S302" s="130"/>
      <c r="T302" s="130"/>
      <c r="U302" s="130"/>
      <c r="V302" s="130"/>
      <c r="W302" s="130"/>
      <c r="Y302" s="130"/>
      <c r="Z302" s="130"/>
      <c r="AA302" s="130"/>
      <c r="AB302" s="130"/>
      <c r="AC302" s="130"/>
      <c r="AD302" s="130"/>
      <c r="AI302" s="166"/>
      <c r="AJ302" s="130"/>
      <c r="AK302" s="130"/>
      <c r="AL302" s="130"/>
      <c r="AM302" s="130"/>
      <c r="AN302" s="130"/>
      <c r="AP302" s="32"/>
    </row>
    <row r="303" spans="1:42" x14ac:dyDescent="0.25">
      <c r="A303" s="148"/>
      <c r="B303" s="153"/>
      <c r="C303" s="119"/>
      <c r="D303" s="119"/>
      <c r="E303" s="154"/>
      <c r="F303" s="45"/>
      <c r="P303" s="130"/>
      <c r="S303" s="130"/>
      <c r="T303" s="130"/>
      <c r="U303" s="130"/>
      <c r="V303" s="130"/>
      <c r="W303" s="130"/>
      <c r="Y303" s="130"/>
      <c r="Z303" s="130"/>
      <c r="AA303" s="130"/>
      <c r="AB303" s="130"/>
      <c r="AC303" s="130"/>
      <c r="AD303" s="130"/>
      <c r="AI303" s="166"/>
      <c r="AJ303" s="130"/>
      <c r="AK303" s="130"/>
      <c r="AL303" s="130"/>
      <c r="AM303" s="130"/>
      <c r="AN303" s="130"/>
      <c r="AP303" s="32"/>
    </row>
    <row r="304" spans="1:42" x14ac:dyDescent="0.25">
      <c r="A304" s="148"/>
      <c r="B304" s="153"/>
      <c r="C304" s="119"/>
      <c r="D304" s="119"/>
      <c r="E304" s="154"/>
      <c r="F304" s="45"/>
      <c r="P304" s="130"/>
      <c r="S304" s="130"/>
      <c r="T304" s="130"/>
      <c r="U304" s="130"/>
      <c r="V304" s="130"/>
      <c r="W304" s="130"/>
      <c r="Y304" s="130"/>
      <c r="Z304" s="130"/>
      <c r="AA304" s="130"/>
      <c r="AB304" s="130"/>
      <c r="AC304" s="130"/>
      <c r="AD304" s="130"/>
      <c r="AI304" s="166"/>
      <c r="AJ304" s="130"/>
      <c r="AK304" s="130"/>
      <c r="AL304" s="130"/>
      <c r="AM304" s="130"/>
      <c r="AN304" s="130"/>
      <c r="AP304" s="32"/>
    </row>
    <row r="305" spans="1:42" x14ac:dyDescent="0.25">
      <c r="A305" s="148"/>
      <c r="B305" s="153"/>
      <c r="C305" s="119"/>
      <c r="D305" s="119"/>
      <c r="E305" s="154"/>
      <c r="F305" s="45"/>
      <c r="P305" s="130"/>
      <c r="S305" s="130"/>
      <c r="T305" s="130"/>
      <c r="U305" s="130"/>
      <c r="V305" s="130"/>
      <c r="W305" s="130"/>
      <c r="Y305" s="130"/>
      <c r="Z305" s="130"/>
      <c r="AA305" s="130"/>
      <c r="AB305" s="130"/>
      <c r="AC305" s="130"/>
      <c r="AD305" s="130"/>
      <c r="AI305" s="166"/>
      <c r="AJ305" s="130"/>
      <c r="AK305" s="130"/>
      <c r="AL305" s="130"/>
      <c r="AM305" s="130"/>
      <c r="AN305" s="130"/>
      <c r="AP305" s="32"/>
    </row>
    <row r="306" spans="1:42" x14ac:dyDescent="0.25">
      <c r="A306" s="148"/>
      <c r="B306" s="153"/>
      <c r="C306" s="119"/>
      <c r="D306" s="119"/>
      <c r="E306" s="154"/>
      <c r="F306" s="45"/>
      <c r="P306" s="130"/>
      <c r="S306" s="130"/>
      <c r="T306" s="130"/>
      <c r="U306" s="130"/>
      <c r="V306" s="130"/>
      <c r="W306" s="130"/>
      <c r="Y306" s="130"/>
      <c r="Z306" s="130"/>
      <c r="AA306" s="130"/>
      <c r="AB306" s="130"/>
      <c r="AC306" s="130"/>
      <c r="AD306" s="130"/>
      <c r="AI306" s="166"/>
      <c r="AJ306" s="130"/>
      <c r="AK306" s="130"/>
      <c r="AL306" s="130"/>
      <c r="AM306" s="130"/>
      <c r="AN306" s="130"/>
      <c r="AP306" s="32"/>
    </row>
    <row r="307" spans="1:42" x14ac:dyDescent="0.25">
      <c r="A307" s="148"/>
      <c r="B307" s="153"/>
      <c r="C307" s="119"/>
      <c r="D307" s="119"/>
      <c r="E307" s="154"/>
      <c r="F307" s="45"/>
      <c r="P307" s="130"/>
      <c r="S307" s="130"/>
      <c r="T307" s="130"/>
      <c r="U307" s="130"/>
      <c r="V307" s="130"/>
      <c r="W307" s="130"/>
      <c r="Y307" s="130"/>
      <c r="Z307" s="130"/>
      <c r="AA307" s="130"/>
      <c r="AB307" s="130"/>
      <c r="AC307" s="130"/>
      <c r="AD307" s="130"/>
      <c r="AI307" s="166"/>
      <c r="AJ307" s="130"/>
      <c r="AK307" s="130"/>
      <c r="AL307" s="130"/>
      <c r="AM307" s="130"/>
      <c r="AN307" s="130"/>
      <c r="AP307" s="32"/>
    </row>
    <row r="308" spans="1:42" x14ac:dyDescent="0.25">
      <c r="A308" s="148"/>
      <c r="B308" s="153"/>
      <c r="C308" s="119"/>
      <c r="D308" s="119"/>
      <c r="E308" s="154"/>
      <c r="F308" s="45"/>
      <c r="P308" s="130"/>
      <c r="S308" s="130"/>
      <c r="T308" s="130"/>
      <c r="U308" s="130"/>
      <c r="V308" s="130"/>
      <c r="W308" s="130"/>
      <c r="Y308" s="130"/>
      <c r="Z308" s="130"/>
      <c r="AA308" s="130"/>
      <c r="AB308" s="130"/>
      <c r="AC308" s="130"/>
      <c r="AD308" s="130"/>
      <c r="AI308" s="166"/>
      <c r="AJ308" s="130"/>
      <c r="AK308" s="130"/>
      <c r="AL308" s="130"/>
      <c r="AM308" s="130"/>
      <c r="AN308" s="130"/>
      <c r="AP308" s="32"/>
    </row>
    <row r="309" spans="1:42" x14ac:dyDescent="0.25">
      <c r="A309" s="148"/>
      <c r="B309" s="153"/>
      <c r="C309" s="119"/>
      <c r="D309" s="119"/>
      <c r="E309" s="154"/>
      <c r="F309" s="45"/>
      <c r="P309" s="130"/>
      <c r="S309" s="130"/>
      <c r="T309" s="130"/>
      <c r="U309" s="130"/>
      <c r="V309" s="130"/>
      <c r="W309" s="130"/>
      <c r="Y309" s="130"/>
      <c r="Z309" s="130"/>
      <c r="AA309" s="130"/>
      <c r="AB309" s="130"/>
      <c r="AC309" s="130"/>
      <c r="AD309" s="130"/>
      <c r="AI309" s="166"/>
      <c r="AJ309" s="130"/>
      <c r="AK309" s="130"/>
      <c r="AL309" s="130"/>
      <c r="AM309" s="130"/>
      <c r="AN309" s="130"/>
      <c r="AP309" s="32"/>
    </row>
    <row r="310" spans="1:42" x14ac:dyDescent="0.25">
      <c r="A310" s="148"/>
      <c r="B310" s="153"/>
      <c r="C310" s="119"/>
      <c r="D310" s="119"/>
      <c r="E310" s="154"/>
      <c r="F310" s="45"/>
      <c r="P310" s="130"/>
      <c r="S310" s="130"/>
      <c r="T310" s="130"/>
      <c r="U310" s="130"/>
      <c r="V310" s="130"/>
      <c r="W310" s="130"/>
      <c r="Y310" s="130"/>
      <c r="Z310" s="130"/>
      <c r="AA310" s="130"/>
      <c r="AB310" s="130"/>
      <c r="AC310" s="130"/>
      <c r="AD310" s="130"/>
      <c r="AI310" s="166"/>
      <c r="AJ310" s="130"/>
      <c r="AK310" s="130"/>
      <c r="AL310" s="130"/>
      <c r="AM310" s="130"/>
      <c r="AN310" s="130"/>
      <c r="AP310" s="32"/>
    </row>
    <row r="311" spans="1:42" x14ac:dyDescent="0.25">
      <c r="A311" s="148"/>
      <c r="B311" s="153"/>
      <c r="C311" s="119"/>
      <c r="D311" s="119"/>
      <c r="E311" s="154"/>
      <c r="F311" s="45"/>
      <c r="P311" s="130"/>
      <c r="S311" s="130"/>
      <c r="T311" s="130"/>
      <c r="U311" s="130"/>
      <c r="V311" s="130"/>
      <c r="W311" s="130"/>
      <c r="Y311" s="130"/>
      <c r="Z311" s="130"/>
      <c r="AA311" s="130"/>
      <c r="AB311" s="130"/>
      <c r="AC311" s="130"/>
      <c r="AD311" s="130"/>
      <c r="AI311" s="166"/>
      <c r="AJ311" s="130"/>
      <c r="AK311" s="130"/>
      <c r="AL311" s="130"/>
      <c r="AM311" s="130"/>
      <c r="AN311" s="130"/>
      <c r="AP311" s="32"/>
    </row>
    <row r="312" spans="1:42" x14ac:dyDescent="0.25">
      <c r="A312" s="148"/>
      <c r="B312" s="153"/>
      <c r="C312" s="119"/>
      <c r="D312" s="119"/>
      <c r="E312" s="154"/>
      <c r="F312" s="45"/>
      <c r="P312" s="130"/>
      <c r="S312" s="130"/>
      <c r="T312" s="130"/>
      <c r="U312" s="130"/>
      <c r="V312" s="130"/>
      <c r="W312" s="130"/>
      <c r="Y312" s="130"/>
      <c r="Z312" s="130"/>
      <c r="AA312" s="130"/>
      <c r="AB312" s="130"/>
      <c r="AC312" s="130"/>
      <c r="AD312" s="130"/>
      <c r="AI312" s="166"/>
      <c r="AJ312" s="130"/>
      <c r="AK312" s="130"/>
      <c r="AL312" s="130"/>
      <c r="AM312" s="130"/>
      <c r="AN312" s="130"/>
      <c r="AP312" s="32"/>
    </row>
    <row r="313" spans="1:42" x14ac:dyDescent="0.25">
      <c r="A313" s="148"/>
      <c r="B313" s="153"/>
      <c r="C313" s="119"/>
      <c r="D313" s="119"/>
      <c r="E313" s="154"/>
      <c r="F313" s="45"/>
      <c r="P313" s="130"/>
      <c r="S313" s="130"/>
      <c r="T313" s="130"/>
      <c r="U313" s="130"/>
      <c r="V313" s="130"/>
      <c r="W313" s="130"/>
      <c r="Y313" s="130"/>
      <c r="Z313" s="130"/>
      <c r="AA313" s="130"/>
      <c r="AB313" s="130"/>
      <c r="AC313" s="130"/>
      <c r="AD313" s="130"/>
      <c r="AI313" s="166"/>
      <c r="AJ313" s="130"/>
      <c r="AK313" s="130"/>
      <c r="AL313" s="130"/>
      <c r="AM313" s="130"/>
      <c r="AN313" s="130"/>
      <c r="AP313" s="32"/>
    </row>
    <row r="314" spans="1:42" x14ac:dyDescent="0.25">
      <c r="A314" s="148"/>
      <c r="B314" s="153"/>
      <c r="C314" s="119"/>
      <c r="D314" s="119"/>
      <c r="E314" s="154"/>
      <c r="F314" s="45"/>
      <c r="P314" s="130"/>
      <c r="S314" s="130"/>
      <c r="T314" s="130"/>
      <c r="U314" s="130"/>
      <c r="V314" s="130"/>
      <c r="W314" s="130"/>
      <c r="Y314" s="130"/>
      <c r="Z314" s="130"/>
      <c r="AA314" s="130"/>
      <c r="AB314" s="130"/>
      <c r="AC314" s="130"/>
      <c r="AD314" s="130"/>
      <c r="AI314" s="166"/>
      <c r="AJ314" s="130"/>
      <c r="AK314" s="130"/>
      <c r="AL314" s="130"/>
      <c r="AM314" s="130"/>
      <c r="AN314" s="130"/>
      <c r="AP314" s="32"/>
    </row>
    <row r="315" spans="1:42" x14ac:dyDescent="0.25">
      <c r="A315" s="148"/>
      <c r="B315" s="153"/>
      <c r="C315" s="119"/>
      <c r="D315" s="119"/>
      <c r="E315" s="154"/>
      <c r="F315" s="45"/>
      <c r="P315" s="130"/>
      <c r="S315" s="130"/>
      <c r="T315" s="130"/>
      <c r="U315" s="130"/>
      <c r="V315" s="130"/>
      <c r="W315" s="130"/>
      <c r="Y315" s="130"/>
      <c r="Z315" s="130"/>
      <c r="AA315" s="130"/>
      <c r="AB315" s="130"/>
      <c r="AC315" s="130"/>
      <c r="AD315" s="130"/>
      <c r="AI315" s="166"/>
      <c r="AJ315" s="130"/>
      <c r="AK315" s="130"/>
      <c r="AL315" s="130"/>
      <c r="AM315" s="130"/>
      <c r="AN315" s="130"/>
      <c r="AP315" s="32"/>
    </row>
    <row r="316" spans="1:42" x14ac:dyDescent="0.25">
      <c r="A316" s="148"/>
      <c r="B316" s="153"/>
      <c r="C316" s="119"/>
      <c r="D316" s="119"/>
      <c r="E316" s="154"/>
      <c r="F316" s="45"/>
      <c r="P316" s="130"/>
      <c r="S316" s="130"/>
      <c r="T316" s="130"/>
      <c r="U316" s="130"/>
      <c r="V316" s="130"/>
      <c r="W316" s="130"/>
      <c r="Y316" s="130"/>
      <c r="Z316" s="130"/>
      <c r="AA316" s="130"/>
      <c r="AB316" s="130"/>
      <c r="AC316" s="130"/>
      <c r="AD316" s="130"/>
      <c r="AI316" s="166"/>
      <c r="AJ316" s="130"/>
      <c r="AK316" s="130"/>
      <c r="AL316" s="130"/>
      <c r="AM316" s="130"/>
      <c r="AN316" s="130"/>
      <c r="AP316" s="32"/>
    </row>
    <row r="317" spans="1:42" x14ac:dyDescent="0.25">
      <c r="A317" s="148"/>
      <c r="B317" s="153"/>
      <c r="C317" s="119"/>
      <c r="D317" s="119"/>
      <c r="E317" s="154"/>
      <c r="F317" s="45"/>
      <c r="P317" s="130"/>
      <c r="S317" s="130"/>
      <c r="T317" s="130"/>
      <c r="U317" s="130"/>
      <c r="V317" s="130"/>
      <c r="W317" s="130"/>
      <c r="Y317" s="130"/>
      <c r="Z317" s="130"/>
      <c r="AA317" s="130"/>
      <c r="AB317" s="130"/>
      <c r="AC317" s="130"/>
      <c r="AD317" s="130"/>
      <c r="AI317" s="166"/>
      <c r="AJ317" s="130"/>
      <c r="AK317" s="130"/>
      <c r="AL317" s="130"/>
      <c r="AM317" s="130"/>
      <c r="AN317" s="130"/>
      <c r="AP317" s="32"/>
    </row>
    <row r="318" spans="1:42" x14ac:dyDescent="0.25">
      <c r="A318" s="148"/>
      <c r="B318" s="153"/>
      <c r="C318" s="119"/>
      <c r="D318" s="119"/>
      <c r="E318" s="154"/>
      <c r="F318" s="45"/>
      <c r="P318" s="130"/>
      <c r="S318" s="130"/>
      <c r="T318" s="130"/>
      <c r="U318" s="130"/>
      <c r="V318" s="130"/>
      <c r="W318" s="130"/>
      <c r="Y318" s="130"/>
      <c r="Z318" s="130"/>
      <c r="AA318" s="130"/>
      <c r="AB318" s="130"/>
      <c r="AC318" s="130"/>
      <c r="AD318" s="130"/>
      <c r="AI318" s="166"/>
      <c r="AJ318" s="130"/>
      <c r="AK318" s="130"/>
      <c r="AL318" s="130"/>
      <c r="AM318" s="130"/>
      <c r="AN318" s="130"/>
      <c r="AP318" s="32"/>
    </row>
    <row r="319" spans="1:42" x14ac:dyDescent="0.25">
      <c r="A319" s="148"/>
      <c r="B319" s="153"/>
      <c r="C319" s="119"/>
      <c r="D319" s="119"/>
      <c r="E319" s="154"/>
      <c r="F319" s="45"/>
      <c r="P319" s="130"/>
      <c r="S319" s="130"/>
      <c r="T319" s="130"/>
      <c r="U319" s="130"/>
      <c r="V319" s="130"/>
      <c r="W319" s="130"/>
      <c r="Y319" s="130"/>
      <c r="Z319" s="130"/>
      <c r="AA319" s="130"/>
      <c r="AB319" s="130"/>
      <c r="AC319" s="130"/>
      <c r="AD319" s="130"/>
      <c r="AI319" s="166"/>
      <c r="AJ319" s="130"/>
      <c r="AK319" s="130"/>
      <c r="AL319" s="130"/>
      <c r="AM319" s="130"/>
      <c r="AN319" s="130"/>
      <c r="AP319" s="32"/>
    </row>
    <row r="320" spans="1:42" x14ac:dyDescent="0.25">
      <c r="A320" s="148"/>
      <c r="B320" s="153"/>
      <c r="C320" s="119"/>
      <c r="D320" s="119"/>
      <c r="E320" s="154"/>
      <c r="F320" s="45"/>
      <c r="P320" s="130"/>
      <c r="S320" s="130"/>
      <c r="T320" s="130"/>
      <c r="U320" s="130"/>
      <c r="V320" s="130"/>
      <c r="W320" s="130"/>
      <c r="Y320" s="130"/>
      <c r="Z320" s="130"/>
      <c r="AA320" s="130"/>
      <c r="AB320" s="130"/>
      <c r="AC320" s="130"/>
      <c r="AD320" s="130"/>
      <c r="AI320" s="166"/>
      <c r="AJ320" s="130"/>
      <c r="AK320" s="130"/>
      <c r="AL320" s="130"/>
      <c r="AM320" s="130"/>
      <c r="AN320" s="130"/>
      <c r="AP320" s="32"/>
    </row>
    <row r="321" spans="1:42" x14ac:dyDescent="0.25">
      <c r="A321" s="148"/>
      <c r="B321" s="153"/>
      <c r="C321" s="119"/>
      <c r="D321" s="119"/>
      <c r="E321" s="154"/>
      <c r="F321" s="45"/>
      <c r="P321" s="130"/>
      <c r="S321" s="130"/>
      <c r="T321" s="130"/>
      <c r="U321" s="130"/>
      <c r="V321" s="130"/>
      <c r="W321" s="130"/>
      <c r="Y321" s="130"/>
      <c r="Z321" s="130"/>
      <c r="AA321" s="130"/>
      <c r="AB321" s="130"/>
      <c r="AC321" s="130"/>
      <c r="AD321" s="130"/>
      <c r="AI321" s="166"/>
      <c r="AJ321" s="130"/>
      <c r="AK321" s="130"/>
      <c r="AL321" s="130"/>
      <c r="AM321" s="130"/>
      <c r="AN321" s="130"/>
      <c r="AP321" s="32"/>
    </row>
    <row r="322" spans="1:42" x14ac:dyDescent="0.25">
      <c r="A322" s="148"/>
      <c r="B322" s="153"/>
      <c r="C322" s="119"/>
      <c r="D322" s="119"/>
      <c r="E322" s="154"/>
      <c r="F322" s="45"/>
      <c r="P322" s="130"/>
      <c r="S322" s="130"/>
      <c r="T322" s="130"/>
      <c r="U322" s="130"/>
      <c r="V322" s="130"/>
      <c r="W322" s="130"/>
      <c r="Y322" s="130"/>
      <c r="Z322" s="130"/>
      <c r="AA322" s="130"/>
      <c r="AB322" s="130"/>
      <c r="AC322" s="130"/>
      <c r="AD322" s="130"/>
      <c r="AI322" s="166"/>
      <c r="AJ322" s="130"/>
      <c r="AK322" s="130"/>
      <c r="AL322" s="130"/>
      <c r="AM322" s="130"/>
      <c r="AN322" s="130"/>
      <c r="AP322" s="32"/>
    </row>
    <row r="323" spans="1:42" x14ac:dyDescent="0.25">
      <c r="A323" s="148"/>
      <c r="B323" s="153"/>
      <c r="C323" s="119"/>
      <c r="D323" s="119"/>
      <c r="E323" s="154"/>
      <c r="F323" s="45"/>
      <c r="P323" s="130"/>
      <c r="S323" s="130"/>
      <c r="T323" s="130"/>
      <c r="U323" s="130"/>
      <c r="V323" s="130"/>
      <c r="W323" s="130"/>
      <c r="Y323" s="130"/>
      <c r="Z323" s="130"/>
      <c r="AA323" s="130"/>
      <c r="AB323" s="130"/>
      <c r="AC323" s="130"/>
      <c r="AD323" s="130"/>
      <c r="AI323" s="166"/>
      <c r="AJ323" s="130"/>
      <c r="AK323" s="130"/>
      <c r="AL323" s="130"/>
      <c r="AM323" s="130"/>
      <c r="AN323" s="130"/>
      <c r="AP323" s="32"/>
    </row>
    <row r="324" spans="1:42" x14ac:dyDescent="0.25">
      <c r="A324" s="148"/>
      <c r="B324" s="153"/>
      <c r="C324" s="119"/>
      <c r="D324" s="119"/>
      <c r="E324" s="154"/>
      <c r="F324" s="45"/>
      <c r="P324" s="130"/>
      <c r="S324" s="130"/>
      <c r="T324" s="130"/>
      <c r="U324" s="130"/>
      <c r="V324" s="130"/>
      <c r="W324" s="130"/>
      <c r="Y324" s="130"/>
      <c r="Z324" s="130"/>
      <c r="AA324" s="130"/>
      <c r="AB324" s="130"/>
      <c r="AC324" s="130"/>
      <c r="AD324" s="130"/>
      <c r="AI324" s="166"/>
      <c r="AJ324" s="130"/>
      <c r="AK324" s="130"/>
      <c r="AL324" s="130"/>
      <c r="AM324" s="130"/>
      <c r="AN324" s="130"/>
      <c r="AP324" s="32"/>
    </row>
    <row r="325" spans="1:42" x14ac:dyDescent="0.25">
      <c r="A325" s="148"/>
      <c r="B325" s="153"/>
      <c r="C325" s="119"/>
      <c r="D325" s="119"/>
      <c r="E325" s="154"/>
      <c r="F325" s="45"/>
      <c r="P325" s="130"/>
      <c r="S325" s="130"/>
      <c r="T325" s="130"/>
      <c r="U325" s="130"/>
      <c r="V325" s="130"/>
      <c r="W325" s="130"/>
      <c r="Y325" s="130"/>
      <c r="Z325" s="130"/>
      <c r="AA325" s="130"/>
      <c r="AB325" s="130"/>
      <c r="AC325" s="130"/>
      <c r="AD325" s="130"/>
      <c r="AI325" s="166"/>
      <c r="AJ325" s="130"/>
      <c r="AK325" s="130"/>
      <c r="AL325" s="130"/>
      <c r="AM325" s="130"/>
      <c r="AN325" s="130"/>
      <c r="AP325" s="32"/>
    </row>
    <row r="326" spans="1:42" x14ac:dyDescent="0.25">
      <c r="A326" s="148"/>
      <c r="B326" s="153"/>
      <c r="C326" s="119"/>
      <c r="D326" s="119"/>
      <c r="E326" s="154"/>
      <c r="F326" s="45"/>
      <c r="P326" s="130"/>
      <c r="S326" s="130"/>
      <c r="T326" s="130"/>
      <c r="U326" s="130"/>
      <c r="V326" s="130"/>
      <c r="W326" s="130"/>
      <c r="Y326" s="130"/>
      <c r="Z326" s="130"/>
      <c r="AA326" s="130"/>
      <c r="AB326" s="130"/>
      <c r="AC326" s="130"/>
      <c r="AD326" s="130"/>
      <c r="AI326" s="166"/>
      <c r="AJ326" s="130"/>
      <c r="AK326" s="130"/>
      <c r="AL326" s="130"/>
      <c r="AM326" s="130"/>
      <c r="AN326" s="130"/>
      <c r="AP326" s="32"/>
    </row>
    <row r="327" spans="1:42" x14ac:dyDescent="0.25">
      <c r="A327" s="148"/>
      <c r="B327" s="153"/>
      <c r="C327" s="119"/>
      <c r="D327" s="119"/>
      <c r="E327" s="154"/>
      <c r="F327" s="45"/>
      <c r="P327" s="130"/>
      <c r="S327" s="130"/>
      <c r="T327" s="130"/>
      <c r="U327" s="130"/>
      <c r="V327" s="130"/>
      <c r="W327" s="130"/>
      <c r="Y327" s="130"/>
      <c r="Z327" s="130"/>
      <c r="AA327" s="130"/>
      <c r="AB327" s="130"/>
      <c r="AC327" s="130"/>
      <c r="AD327" s="130"/>
      <c r="AI327" s="166"/>
      <c r="AJ327" s="130"/>
      <c r="AK327" s="130"/>
      <c r="AL327" s="130"/>
      <c r="AM327" s="130"/>
      <c r="AN327" s="130"/>
      <c r="AP327" s="32"/>
    </row>
    <row r="328" spans="1:42" x14ac:dyDescent="0.25">
      <c r="A328" s="148"/>
      <c r="B328" s="153"/>
      <c r="C328" s="119"/>
      <c r="D328" s="119"/>
      <c r="E328" s="154"/>
      <c r="F328" s="45"/>
      <c r="P328" s="130"/>
      <c r="S328" s="130"/>
      <c r="T328" s="130"/>
      <c r="U328" s="130"/>
      <c r="V328" s="130"/>
      <c r="W328" s="130"/>
      <c r="Y328" s="130"/>
      <c r="Z328" s="130"/>
      <c r="AA328" s="130"/>
      <c r="AB328" s="130"/>
      <c r="AC328" s="130"/>
      <c r="AD328" s="130"/>
      <c r="AI328" s="166"/>
      <c r="AJ328" s="130"/>
      <c r="AK328" s="130"/>
      <c r="AL328" s="130"/>
      <c r="AM328" s="130"/>
      <c r="AN328" s="130"/>
      <c r="AP328" s="32"/>
    </row>
    <row r="329" spans="1:42" x14ac:dyDescent="0.25">
      <c r="A329" s="148"/>
      <c r="B329" s="153"/>
      <c r="C329" s="119"/>
      <c r="D329" s="119"/>
      <c r="E329" s="154"/>
      <c r="F329" s="45"/>
      <c r="P329" s="130"/>
      <c r="S329" s="130"/>
      <c r="T329" s="130"/>
      <c r="U329" s="130"/>
      <c r="V329" s="130"/>
      <c r="W329" s="130"/>
      <c r="Y329" s="130"/>
      <c r="Z329" s="130"/>
      <c r="AA329" s="130"/>
      <c r="AB329" s="130"/>
      <c r="AC329" s="130"/>
      <c r="AD329" s="130"/>
      <c r="AI329" s="166"/>
      <c r="AJ329" s="130"/>
      <c r="AK329" s="130"/>
      <c r="AL329" s="130"/>
      <c r="AM329" s="130"/>
      <c r="AN329" s="130"/>
      <c r="AP329" s="32"/>
    </row>
    <row r="330" spans="1:42" x14ac:dyDescent="0.25">
      <c r="A330" s="148"/>
      <c r="B330" s="153"/>
      <c r="C330" s="119"/>
      <c r="D330" s="119"/>
      <c r="E330" s="154"/>
      <c r="F330" s="45"/>
      <c r="P330" s="130"/>
      <c r="S330" s="130"/>
      <c r="T330" s="130"/>
      <c r="U330" s="130"/>
      <c r="V330" s="130"/>
      <c r="W330" s="130"/>
      <c r="Y330" s="130"/>
      <c r="Z330" s="130"/>
      <c r="AA330" s="130"/>
      <c r="AB330" s="130"/>
      <c r="AC330" s="130"/>
      <c r="AD330" s="130"/>
      <c r="AI330" s="166"/>
      <c r="AJ330" s="130"/>
      <c r="AK330" s="130"/>
      <c r="AL330" s="130"/>
      <c r="AM330" s="130"/>
      <c r="AN330" s="130"/>
      <c r="AP330" s="32"/>
    </row>
    <row r="331" spans="1:42" x14ac:dyDescent="0.25">
      <c r="A331" s="148"/>
      <c r="B331" s="153"/>
      <c r="C331" s="119"/>
      <c r="D331" s="119"/>
      <c r="E331" s="154"/>
      <c r="F331" s="45"/>
      <c r="P331" s="130"/>
      <c r="S331" s="130"/>
      <c r="T331" s="130"/>
      <c r="U331" s="130"/>
      <c r="V331" s="130"/>
      <c r="W331" s="130"/>
      <c r="Y331" s="130"/>
      <c r="Z331" s="130"/>
      <c r="AA331" s="130"/>
      <c r="AB331" s="130"/>
      <c r="AC331" s="130"/>
      <c r="AD331" s="130"/>
      <c r="AI331" s="166"/>
      <c r="AJ331" s="130"/>
      <c r="AK331" s="130"/>
      <c r="AL331" s="130"/>
      <c r="AM331" s="130"/>
      <c r="AN331" s="130"/>
      <c r="AP331" s="32"/>
    </row>
    <row r="332" spans="1:42" x14ac:dyDescent="0.25">
      <c r="A332" s="148"/>
      <c r="B332" s="153"/>
      <c r="C332" s="119"/>
      <c r="D332" s="119"/>
      <c r="E332" s="154"/>
      <c r="F332" s="45"/>
      <c r="P332" s="130"/>
      <c r="S332" s="130"/>
      <c r="T332" s="130"/>
      <c r="U332" s="130"/>
      <c r="V332" s="130"/>
      <c r="W332" s="130"/>
      <c r="Y332" s="130"/>
      <c r="Z332" s="130"/>
      <c r="AA332" s="130"/>
      <c r="AB332" s="130"/>
      <c r="AC332" s="130"/>
      <c r="AD332" s="130"/>
      <c r="AI332" s="166"/>
      <c r="AJ332" s="130"/>
      <c r="AK332" s="130"/>
      <c r="AL332" s="130"/>
      <c r="AM332" s="130"/>
      <c r="AN332" s="130"/>
      <c r="AP332" s="32"/>
    </row>
    <row r="333" spans="1:42" x14ac:dyDescent="0.25">
      <c r="A333" s="148"/>
      <c r="B333" s="153"/>
      <c r="C333" s="119"/>
      <c r="D333" s="119"/>
      <c r="E333" s="154"/>
      <c r="F333" s="45"/>
      <c r="P333" s="130"/>
      <c r="S333" s="130"/>
      <c r="T333" s="130"/>
      <c r="U333" s="130"/>
      <c r="V333" s="130"/>
      <c r="W333" s="130"/>
      <c r="Y333" s="130"/>
      <c r="Z333" s="130"/>
      <c r="AA333" s="130"/>
      <c r="AB333" s="130"/>
      <c r="AC333" s="130"/>
      <c r="AD333" s="130"/>
      <c r="AI333" s="166"/>
      <c r="AJ333" s="130"/>
      <c r="AK333" s="130"/>
      <c r="AL333" s="130"/>
      <c r="AM333" s="130"/>
      <c r="AN333" s="130"/>
      <c r="AP333" s="32"/>
    </row>
    <row r="334" spans="1:42" x14ac:dyDescent="0.25">
      <c r="A334" s="148"/>
      <c r="B334" s="153"/>
      <c r="C334" s="119"/>
      <c r="D334" s="119"/>
      <c r="E334" s="154"/>
      <c r="F334" s="45"/>
      <c r="P334" s="130"/>
      <c r="S334" s="130"/>
      <c r="T334" s="130"/>
      <c r="U334" s="130"/>
      <c r="V334" s="130"/>
      <c r="W334" s="130"/>
      <c r="Y334" s="130"/>
      <c r="Z334" s="130"/>
      <c r="AA334" s="130"/>
      <c r="AB334" s="130"/>
      <c r="AC334" s="130"/>
      <c r="AD334" s="130"/>
      <c r="AI334" s="166"/>
      <c r="AJ334" s="130"/>
      <c r="AK334" s="130"/>
      <c r="AL334" s="130"/>
      <c r="AM334" s="130"/>
      <c r="AN334" s="130"/>
      <c r="AP334" s="32"/>
    </row>
    <row r="335" spans="1:42" x14ac:dyDescent="0.25">
      <c r="A335" s="148"/>
      <c r="B335" s="153"/>
      <c r="C335" s="119"/>
      <c r="D335" s="119"/>
      <c r="E335" s="154"/>
      <c r="F335" s="45"/>
      <c r="P335" s="130"/>
      <c r="S335" s="130"/>
      <c r="T335" s="130"/>
      <c r="U335" s="130"/>
      <c r="V335" s="130"/>
      <c r="W335" s="130"/>
      <c r="Y335" s="130"/>
      <c r="Z335" s="130"/>
      <c r="AA335" s="130"/>
      <c r="AB335" s="130"/>
      <c r="AC335" s="130"/>
      <c r="AD335" s="130"/>
      <c r="AI335" s="166"/>
      <c r="AJ335" s="130"/>
      <c r="AK335" s="130"/>
      <c r="AL335" s="130"/>
      <c r="AM335" s="130"/>
      <c r="AN335" s="130"/>
      <c r="AP335" s="32"/>
    </row>
    <row r="336" spans="1:42" x14ac:dyDescent="0.25">
      <c r="A336" s="148"/>
      <c r="B336" s="153"/>
      <c r="C336" s="119"/>
      <c r="D336" s="119"/>
      <c r="E336" s="154"/>
      <c r="F336" s="45"/>
      <c r="P336" s="130"/>
      <c r="S336" s="130"/>
      <c r="T336" s="130"/>
      <c r="U336" s="130"/>
      <c r="V336" s="130"/>
      <c r="W336" s="130"/>
      <c r="Y336" s="130"/>
      <c r="Z336" s="130"/>
      <c r="AA336" s="130"/>
      <c r="AB336" s="130"/>
      <c r="AC336" s="130"/>
      <c r="AD336" s="130"/>
      <c r="AI336" s="166"/>
      <c r="AJ336" s="130"/>
      <c r="AK336" s="130"/>
      <c r="AL336" s="130"/>
      <c r="AM336" s="130"/>
      <c r="AN336" s="130"/>
      <c r="AP336" s="32"/>
    </row>
    <row r="337" spans="1:42" x14ac:dyDescent="0.25">
      <c r="A337" s="148"/>
      <c r="B337" s="153"/>
      <c r="C337" s="119"/>
      <c r="D337" s="119"/>
      <c r="E337" s="154"/>
      <c r="F337" s="45"/>
      <c r="P337" s="130"/>
      <c r="S337" s="130"/>
      <c r="T337" s="130"/>
      <c r="U337" s="130"/>
      <c r="V337" s="130"/>
      <c r="W337" s="130"/>
      <c r="Y337" s="130"/>
      <c r="Z337" s="130"/>
      <c r="AA337" s="130"/>
      <c r="AB337" s="130"/>
      <c r="AC337" s="130"/>
      <c r="AD337" s="130"/>
      <c r="AI337" s="166"/>
      <c r="AJ337" s="130"/>
      <c r="AK337" s="130"/>
      <c r="AL337" s="130"/>
      <c r="AM337" s="130"/>
      <c r="AN337" s="130"/>
      <c r="AP337" s="32"/>
    </row>
    <row r="338" spans="1:42" x14ac:dyDescent="0.25">
      <c r="A338" s="148"/>
      <c r="B338" s="153"/>
      <c r="C338" s="119"/>
      <c r="D338" s="119"/>
      <c r="E338" s="154"/>
      <c r="F338" s="45"/>
      <c r="P338" s="130"/>
      <c r="S338" s="130"/>
      <c r="T338" s="130"/>
      <c r="U338" s="130"/>
      <c r="V338" s="130"/>
      <c r="W338" s="130"/>
      <c r="Y338" s="130"/>
      <c r="Z338" s="130"/>
      <c r="AA338" s="130"/>
      <c r="AB338" s="130"/>
      <c r="AC338" s="130"/>
      <c r="AD338" s="130"/>
      <c r="AI338" s="166"/>
      <c r="AJ338" s="130"/>
      <c r="AK338" s="130"/>
      <c r="AL338" s="130"/>
      <c r="AM338" s="130"/>
      <c r="AN338" s="130"/>
      <c r="AP338" s="32"/>
    </row>
    <row r="339" spans="1:42" x14ac:dyDescent="0.25">
      <c r="A339" s="148"/>
      <c r="B339" s="153"/>
      <c r="C339" s="119"/>
      <c r="D339" s="119"/>
      <c r="E339" s="154"/>
      <c r="F339" s="45"/>
      <c r="P339" s="130"/>
      <c r="S339" s="130"/>
      <c r="T339" s="130"/>
      <c r="U339" s="130"/>
      <c r="V339" s="130"/>
      <c r="W339" s="130"/>
      <c r="Y339" s="130"/>
      <c r="Z339" s="130"/>
      <c r="AA339" s="130"/>
      <c r="AB339" s="130"/>
      <c r="AC339" s="130"/>
      <c r="AD339" s="130"/>
      <c r="AI339" s="166"/>
      <c r="AJ339" s="130"/>
      <c r="AK339" s="130"/>
      <c r="AL339" s="130"/>
      <c r="AM339" s="130"/>
      <c r="AN339" s="130"/>
      <c r="AP339" s="32"/>
    </row>
    <row r="340" spans="1:42" x14ac:dyDescent="0.25">
      <c r="A340" s="148"/>
      <c r="B340" s="153"/>
      <c r="C340" s="119"/>
      <c r="D340" s="119"/>
      <c r="E340" s="154"/>
      <c r="F340" s="45"/>
      <c r="P340" s="130"/>
      <c r="S340" s="130"/>
      <c r="T340" s="130"/>
      <c r="U340" s="130"/>
      <c r="V340" s="130"/>
      <c r="W340" s="130"/>
      <c r="Y340" s="130"/>
      <c r="Z340" s="130"/>
      <c r="AA340" s="130"/>
      <c r="AB340" s="130"/>
      <c r="AC340" s="130"/>
      <c r="AD340" s="130"/>
      <c r="AI340" s="166"/>
      <c r="AJ340" s="130"/>
      <c r="AK340" s="130"/>
      <c r="AL340" s="130"/>
      <c r="AM340" s="130"/>
      <c r="AN340" s="130"/>
      <c r="AP340" s="32"/>
    </row>
    <row r="341" spans="1:42" x14ac:dyDescent="0.25">
      <c r="A341" s="148"/>
      <c r="B341" s="153"/>
      <c r="C341" s="119"/>
      <c r="D341" s="119"/>
      <c r="E341" s="154"/>
      <c r="F341" s="45"/>
      <c r="P341" s="130"/>
      <c r="S341" s="130"/>
      <c r="T341" s="130"/>
      <c r="U341" s="130"/>
      <c r="V341" s="130"/>
      <c r="W341" s="130"/>
      <c r="Y341" s="130"/>
      <c r="Z341" s="130"/>
      <c r="AA341" s="130"/>
      <c r="AB341" s="130"/>
      <c r="AC341" s="130"/>
      <c r="AD341" s="130"/>
      <c r="AI341" s="166"/>
      <c r="AJ341" s="130"/>
      <c r="AK341" s="130"/>
      <c r="AL341" s="130"/>
      <c r="AM341" s="130"/>
      <c r="AN341" s="130"/>
      <c r="AP341" s="32"/>
    </row>
    <row r="342" spans="1:42" x14ac:dyDescent="0.25">
      <c r="A342" s="148"/>
      <c r="B342" s="153"/>
      <c r="C342" s="119"/>
      <c r="D342" s="119"/>
      <c r="E342" s="154"/>
      <c r="F342" s="45"/>
      <c r="P342" s="130"/>
      <c r="S342" s="130"/>
      <c r="T342" s="130"/>
      <c r="U342" s="130"/>
      <c r="V342" s="130"/>
      <c r="W342" s="130"/>
      <c r="Y342" s="130"/>
      <c r="Z342" s="130"/>
      <c r="AA342" s="130"/>
      <c r="AB342" s="130"/>
      <c r="AC342" s="130"/>
      <c r="AD342" s="130"/>
      <c r="AI342" s="166"/>
      <c r="AJ342" s="130"/>
      <c r="AK342" s="130"/>
      <c r="AL342" s="130"/>
      <c r="AM342" s="130"/>
      <c r="AN342" s="130"/>
      <c r="AP342" s="32"/>
    </row>
    <row r="343" spans="1:42" x14ac:dyDescent="0.25">
      <c r="A343" s="148"/>
      <c r="B343" s="153"/>
      <c r="C343" s="119"/>
      <c r="D343" s="119"/>
      <c r="E343" s="154"/>
      <c r="F343" s="45"/>
      <c r="P343" s="130"/>
      <c r="S343" s="130"/>
      <c r="T343" s="130"/>
      <c r="U343" s="130"/>
      <c r="V343" s="130"/>
      <c r="W343" s="130"/>
      <c r="Y343" s="130"/>
      <c r="Z343" s="130"/>
      <c r="AA343" s="130"/>
      <c r="AB343" s="130"/>
      <c r="AC343" s="130"/>
      <c r="AD343" s="130"/>
      <c r="AI343" s="166"/>
      <c r="AJ343" s="130"/>
      <c r="AK343" s="130"/>
      <c r="AL343" s="130"/>
      <c r="AM343" s="130"/>
      <c r="AN343" s="130"/>
      <c r="AP343" s="32"/>
    </row>
    <row r="344" spans="1:42" x14ac:dyDescent="0.25">
      <c r="A344" s="148"/>
      <c r="B344" s="153"/>
      <c r="C344" s="119"/>
      <c r="D344" s="119"/>
      <c r="E344" s="154"/>
      <c r="F344" s="45"/>
      <c r="P344" s="130"/>
      <c r="S344" s="130"/>
      <c r="T344" s="130"/>
      <c r="U344" s="130"/>
      <c r="V344" s="130"/>
      <c r="W344" s="130"/>
      <c r="Y344" s="130"/>
      <c r="Z344" s="130"/>
      <c r="AA344" s="130"/>
      <c r="AB344" s="130"/>
      <c r="AC344" s="130"/>
      <c r="AD344" s="130"/>
      <c r="AI344" s="166"/>
      <c r="AJ344" s="130"/>
      <c r="AK344" s="130"/>
      <c r="AL344" s="130"/>
      <c r="AM344" s="130"/>
      <c r="AN344" s="130"/>
      <c r="AP344" s="32"/>
    </row>
    <row r="345" spans="1:42" x14ac:dyDescent="0.25">
      <c r="A345" s="148"/>
      <c r="B345" s="153"/>
      <c r="C345" s="119"/>
      <c r="D345" s="119"/>
      <c r="E345" s="154"/>
      <c r="F345" s="45"/>
      <c r="P345" s="130"/>
      <c r="S345" s="130"/>
      <c r="T345" s="130"/>
      <c r="U345" s="130"/>
      <c r="V345" s="130"/>
      <c r="W345" s="130"/>
      <c r="Y345" s="130"/>
      <c r="Z345" s="130"/>
      <c r="AA345" s="130"/>
      <c r="AB345" s="130"/>
      <c r="AC345" s="130"/>
      <c r="AD345" s="130"/>
      <c r="AI345" s="166"/>
      <c r="AJ345" s="130"/>
      <c r="AK345" s="130"/>
      <c r="AL345" s="130"/>
      <c r="AM345" s="130"/>
      <c r="AN345" s="130"/>
      <c r="AP345" s="32"/>
    </row>
    <row r="346" spans="1:42" x14ac:dyDescent="0.25">
      <c r="A346" s="148"/>
      <c r="B346" s="153"/>
      <c r="C346" s="119"/>
      <c r="D346" s="119"/>
      <c r="E346" s="154"/>
      <c r="F346" s="45"/>
      <c r="P346" s="130"/>
      <c r="S346" s="130"/>
      <c r="T346" s="130"/>
      <c r="U346" s="130"/>
      <c r="V346" s="130"/>
      <c r="W346" s="130"/>
      <c r="Y346" s="130"/>
      <c r="Z346" s="130"/>
      <c r="AA346" s="130"/>
      <c r="AB346" s="130"/>
      <c r="AC346" s="130"/>
      <c r="AD346" s="130"/>
      <c r="AI346" s="166"/>
      <c r="AJ346" s="130"/>
      <c r="AK346" s="130"/>
      <c r="AL346" s="130"/>
      <c r="AM346" s="130"/>
      <c r="AN346" s="130"/>
      <c r="AP346" s="32"/>
    </row>
    <row r="347" spans="1:42" x14ac:dyDescent="0.25">
      <c r="A347" s="148"/>
      <c r="B347" s="153"/>
      <c r="C347" s="119"/>
      <c r="D347" s="119"/>
      <c r="E347" s="154"/>
      <c r="F347" s="45"/>
      <c r="P347" s="130"/>
      <c r="S347" s="130"/>
      <c r="T347" s="130"/>
      <c r="U347" s="130"/>
      <c r="V347" s="130"/>
      <c r="W347" s="130"/>
      <c r="Y347" s="130"/>
      <c r="Z347" s="130"/>
      <c r="AA347" s="130"/>
      <c r="AB347" s="130"/>
      <c r="AC347" s="130"/>
      <c r="AD347" s="130"/>
      <c r="AI347" s="166"/>
      <c r="AJ347" s="130"/>
      <c r="AK347" s="130"/>
      <c r="AL347" s="130"/>
      <c r="AM347" s="130"/>
      <c r="AN347" s="130"/>
      <c r="AP347" s="32"/>
    </row>
    <row r="348" spans="1:42" x14ac:dyDescent="0.25">
      <c r="A348" s="148"/>
      <c r="B348" s="153"/>
      <c r="C348" s="119"/>
      <c r="D348" s="119"/>
      <c r="E348" s="154"/>
      <c r="F348" s="45"/>
      <c r="P348" s="130"/>
      <c r="S348" s="130"/>
      <c r="T348" s="130"/>
      <c r="U348" s="130"/>
      <c r="V348" s="130"/>
      <c r="W348" s="130"/>
      <c r="Y348" s="130"/>
      <c r="Z348" s="130"/>
      <c r="AA348" s="130"/>
      <c r="AB348" s="130"/>
      <c r="AC348" s="130"/>
      <c r="AD348" s="130"/>
      <c r="AI348" s="166"/>
      <c r="AJ348" s="130"/>
      <c r="AK348" s="130"/>
      <c r="AL348" s="130"/>
      <c r="AM348" s="130"/>
      <c r="AN348" s="130"/>
      <c r="AP348" s="32"/>
    </row>
    <row r="349" spans="1:42" x14ac:dyDescent="0.25">
      <c r="A349" s="148"/>
      <c r="B349" s="153"/>
      <c r="C349" s="119"/>
      <c r="D349" s="119"/>
      <c r="E349" s="154"/>
      <c r="F349" s="45"/>
      <c r="P349" s="130"/>
      <c r="S349" s="130"/>
      <c r="T349" s="130"/>
      <c r="U349" s="130"/>
      <c r="V349" s="130"/>
      <c r="W349" s="130"/>
      <c r="Y349" s="130"/>
      <c r="Z349" s="130"/>
      <c r="AA349" s="130"/>
      <c r="AB349" s="130"/>
      <c r="AC349" s="130"/>
      <c r="AD349" s="130"/>
      <c r="AI349" s="166"/>
      <c r="AJ349" s="130"/>
      <c r="AK349" s="130"/>
      <c r="AL349" s="130"/>
      <c r="AM349" s="130"/>
      <c r="AN349" s="130"/>
      <c r="AP349" s="32"/>
    </row>
    <row r="350" spans="1:42" x14ac:dyDescent="0.25">
      <c r="A350" s="148"/>
      <c r="B350" s="153"/>
      <c r="C350" s="119"/>
      <c r="D350" s="119"/>
      <c r="E350" s="154"/>
      <c r="F350" s="45"/>
      <c r="P350" s="130"/>
      <c r="S350" s="130"/>
      <c r="T350" s="130"/>
      <c r="U350" s="130"/>
      <c r="V350" s="130"/>
      <c r="W350" s="130"/>
      <c r="Y350" s="130"/>
      <c r="Z350" s="130"/>
      <c r="AA350" s="130"/>
      <c r="AB350" s="130"/>
      <c r="AC350" s="130"/>
      <c r="AD350" s="130"/>
      <c r="AI350" s="166"/>
      <c r="AJ350" s="130"/>
      <c r="AK350" s="130"/>
      <c r="AL350" s="130"/>
      <c r="AM350" s="130"/>
      <c r="AN350" s="130"/>
      <c r="AP350" s="32"/>
    </row>
    <row r="351" spans="1:42" x14ac:dyDescent="0.25">
      <c r="A351" s="148"/>
      <c r="B351" s="153"/>
      <c r="C351" s="119"/>
      <c r="D351" s="119"/>
      <c r="E351" s="154"/>
      <c r="F351" s="45"/>
      <c r="P351" s="130"/>
      <c r="S351" s="130"/>
      <c r="T351" s="130"/>
      <c r="U351" s="130"/>
      <c r="V351" s="130"/>
      <c r="W351" s="130"/>
      <c r="Y351" s="130"/>
      <c r="Z351" s="130"/>
      <c r="AA351" s="130"/>
      <c r="AB351" s="130"/>
      <c r="AC351" s="130"/>
      <c r="AD351" s="130"/>
      <c r="AI351" s="166"/>
      <c r="AJ351" s="130"/>
      <c r="AK351" s="130"/>
      <c r="AL351" s="130"/>
      <c r="AM351" s="130"/>
      <c r="AN351" s="130"/>
      <c r="AP351" s="32"/>
    </row>
    <row r="352" spans="1:42" x14ac:dyDescent="0.25">
      <c r="A352" s="148"/>
      <c r="B352" s="153"/>
      <c r="C352" s="119"/>
      <c r="D352" s="119"/>
      <c r="E352" s="154"/>
      <c r="F352" s="45"/>
      <c r="P352" s="130"/>
      <c r="S352" s="130"/>
      <c r="T352" s="130"/>
      <c r="U352" s="130"/>
      <c r="V352" s="130"/>
      <c r="W352" s="130"/>
      <c r="Y352" s="130"/>
      <c r="Z352" s="130"/>
      <c r="AA352" s="130"/>
      <c r="AB352" s="130"/>
      <c r="AC352" s="130"/>
      <c r="AD352" s="130"/>
      <c r="AI352" s="166"/>
      <c r="AJ352" s="130"/>
      <c r="AK352" s="130"/>
      <c r="AL352" s="130"/>
      <c r="AM352" s="130"/>
      <c r="AN352" s="130"/>
      <c r="AP352" s="32"/>
    </row>
    <row r="353" spans="1:42" x14ac:dyDescent="0.25">
      <c r="A353" s="148"/>
      <c r="B353" s="153"/>
      <c r="C353" s="119"/>
      <c r="D353" s="119"/>
      <c r="E353" s="154"/>
      <c r="F353" s="45"/>
      <c r="P353" s="130"/>
      <c r="S353" s="130"/>
      <c r="T353" s="130"/>
      <c r="U353" s="130"/>
      <c r="V353" s="130"/>
      <c r="W353" s="130"/>
      <c r="Y353" s="130"/>
      <c r="Z353" s="130"/>
      <c r="AA353" s="130"/>
      <c r="AB353" s="130"/>
      <c r="AC353" s="130"/>
      <c r="AD353" s="130"/>
      <c r="AI353" s="166"/>
      <c r="AJ353" s="130"/>
      <c r="AK353" s="130"/>
      <c r="AL353" s="130"/>
      <c r="AM353" s="130"/>
      <c r="AN353" s="130"/>
      <c r="AP353" s="32"/>
    </row>
    <row r="354" spans="1:42" x14ac:dyDescent="0.25">
      <c r="A354" s="148"/>
      <c r="B354" s="153"/>
      <c r="C354" s="119"/>
      <c r="D354" s="119"/>
      <c r="E354" s="154"/>
      <c r="F354" s="45"/>
      <c r="P354" s="130"/>
      <c r="S354" s="130"/>
      <c r="T354" s="130"/>
      <c r="U354" s="130"/>
      <c r="V354" s="130"/>
      <c r="W354" s="130"/>
      <c r="Y354" s="130"/>
      <c r="Z354" s="130"/>
      <c r="AA354" s="130"/>
      <c r="AB354" s="130"/>
      <c r="AC354" s="130"/>
      <c r="AD354" s="130"/>
      <c r="AI354" s="166"/>
      <c r="AJ354" s="130"/>
      <c r="AK354" s="130"/>
      <c r="AL354" s="130"/>
      <c r="AM354" s="130"/>
      <c r="AN354" s="130"/>
      <c r="AP354" s="32"/>
    </row>
    <row r="355" spans="1:42" x14ac:dyDescent="0.25">
      <c r="A355" s="148"/>
      <c r="B355" s="153"/>
      <c r="C355" s="119"/>
      <c r="D355" s="119"/>
      <c r="E355" s="154"/>
      <c r="F355" s="45"/>
      <c r="P355" s="130"/>
      <c r="S355" s="130"/>
      <c r="T355" s="130"/>
      <c r="U355" s="130"/>
      <c r="V355" s="130"/>
      <c r="W355" s="130"/>
      <c r="Y355" s="130"/>
      <c r="Z355" s="130"/>
      <c r="AA355" s="130"/>
      <c r="AB355" s="130"/>
      <c r="AC355" s="130"/>
      <c r="AD355" s="130"/>
      <c r="AI355" s="166"/>
      <c r="AJ355" s="130"/>
      <c r="AK355" s="130"/>
      <c r="AL355" s="130"/>
      <c r="AM355" s="130"/>
      <c r="AN355" s="130"/>
      <c r="AP355" s="32"/>
    </row>
    <row r="356" spans="1:42" x14ac:dyDescent="0.25">
      <c r="A356" s="148"/>
      <c r="B356" s="153"/>
      <c r="C356" s="119"/>
      <c r="D356" s="119"/>
      <c r="E356" s="154"/>
      <c r="F356" s="45"/>
      <c r="P356" s="130"/>
      <c r="S356" s="130"/>
      <c r="T356" s="130"/>
      <c r="U356" s="130"/>
      <c r="V356" s="130"/>
      <c r="W356" s="130"/>
      <c r="Y356" s="130"/>
      <c r="Z356" s="130"/>
      <c r="AA356" s="130"/>
      <c r="AB356" s="130"/>
      <c r="AC356" s="130"/>
      <c r="AD356" s="130"/>
      <c r="AI356" s="166"/>
      <c r="AJ356" s="130"/>
      <c r="AK356" s="130"/>
      <c r="AL356" s="130"/>
      <c r="AM356" s="130"/>
      <c r="AN356" s="130"/>
      <c r="AP356" s="32"/>
    </row>
    <row r="357" spans="1:42" x14ac:dyDescent="0.25">
      <c r="A357" s="148"/>
      <c r="B357" s="153"/>
      <c r="C357" s="119"/>
      <c r="D357" s="119"/>
      <c r="E357" s="154"/>
      <c r="F357" s="45"/>
      <c r="P357" s="130"/>
      <c r="S357" s="130"/>
      <c r="T357" s="130"/>
      <c r="U357" s="130"/>
      <c r="V357" s="130"/>
      <c r="W357" s="130"/>
      <c r="Y357" s="130"/>
      <c r="Z357" s="130"/>
      <c r="AA357" s="130"/>
      <c r="AB357" s="130"/>
      <c r="AC357" s="130"/>
      <c r="AD357" s="130"/>
      <c r="AI357" s="166"/>
      <c r="AJ357" s="130"/>
      <c r="AK357" s="130"/>
      <c r="AL357" s="130"/>
      <c r="AM357" s="130"/>
      <c r="AN357" s="130"/>
      <c r="AP357" s="32"/>
    </row>
    <row r="358" spans="1:42" x14ac:dyDescent="0.25">
      <c r="A358" s="148"/>
      <c r="B358" s="153"/>
      <c r="C358" s="119"/>
      <c r="D358" s="119"/>
      <c r="E358" s="154"/>
      <c r="F358" s="45"/>
      <c r="P358" s="130"/>
      <c r="S358" s="130"/>
      <c r="T358" s="130"/>
      <c r="U358" s="130"/>
      <c r="V358" s="130"/>
      <c r="W358" s="130"/>
      <c r="Y358" s="130"/>
      <c r="Z358" s="130"/>
      <c r="AA358" s="130"/>
      <c r="AB358" s="130"/>
      <c r="AC358" s="130"/>
      <c r="AD358" s="130"/>
      <c r="AI358" s="166"/>
      <c r="AJ358" s="130"/>
      <c r="AK358" s="130"/>
      <c r="AL358" s="130"/>
      <c r="AM358" s="130"/>
      <c r="AN358" s="130"/>
      <c r="AP358" s="32"/>
    </row>
    <row r="359" spans="1:42" x14ac:dyDescent="0.25">
      <c r="A359" s="148"/>
      <c r="B359" s="153"/>
      <c r="C359" s="119"/>
      <c r="D359" s="119"/>
      <c r="E359" s="154"/>
      <c r="F359" s="45"/>
      <c r="P359" s="130"/>
      <c r="S359" s="130"/>
      <c r="T359" s="130"/>
      <c r="U359" s="130"/>
      <c r="V359" s="130"/>
      <c r="W359" s="130"/>
      <c r="Y359" s="130"/>
      <c r="Z359" s="130"/>
      <c r="AA359" s="130"/>
      <c r="AB359" s="130"/>
      <c r="AC359" s="130"/>
      <c r="AD359" s="130"/>
      <c r="AI359" s="166"/>
      <c r="AJ359" s="130"/>
      <c r="AK359" s="130"/>
      <c r="AL359" s="130"/>
      <c r="AM359" s="130"/>
      <c r="AN359" s="130"/>
      <c r="AP359" s="32"/>
    </row>
    <row r="360" spans="1:42" x14ac:dyDescent="0.25">
      <c r="A360" s="148"/>
      <c r="B360" s="153"/>
      <c r="C360" s="119"/>
      <c r="D360" s="119"/>
      <c r="E360" s="154"/>
      <c r="F360" s="45"/>
      <c r="P360" s="130"/>
      <c r="S360" s="130"/>
      <c r="T360" s="130"/>
      <c r="U360" s="130"/>
      <c r="V360" s="130"/>
      <c r="W360" s="130"/>
      <c r="Y360" s="130"/>
      <c r="Z360" s="130"/>
      <c r="AA360" s="130"/>
      <c r="AB360" s="130"/>
      <c r="AC360" s="130"/>
      <c r="AD360" s="130"/>
      <c r="AI360" s="166"/>
      <c r="AJ360" s="130"/>
      <c r="AK360" s="130"/>
      <c r="AL360" s="130"/>
      <c r="AM360" s="130"/>
      <c r="AN360" s="130"/>
      <c r="AP360" s="32"/>
    </row>
    <row r="361" spans="1:42" x14ac:dyDescent="0.25">
      <c r="A361" s="148"/>
      <c r="B361" s="153"/>
      <c r="C361" s="119"/>
      <c r="D361" s="119"/>
      <c r="E361" s="154"/>
      <c r="F361" s="45"/>
      <c r="P361" s="130"/>
      <c r="S361" s="130"/>
      <c r="T361" s="130"/>
      <c r="U361" s="130"/>
      <c r="V361" s="130"/>
      <c r="W361" s="130"/>
      <c r="Y361" s="130"/>
      <c r="Z361" s="130"/>
      <c r="AA361" s="130"/>
      <c r="AB361" s="130"/>
      <c r="AC361" s="130"/>
      <c r="AD361" s="130"/>
      <c r="AI361" s="166"/>
      <c r="AJ361" s="130"/>
      <c r="AK361" s="130"/>
      <c r="AL361" s="130"/>
      <c r="AM361" s="130"/>
      <c r="AN361" s="130"/>
      <c r="AP361" s="32"/>
    </row>
    <row r="362" spans="1:42" x14ac:dyDescent="0.25">
      <c r="A362" s="148"/>
      <c r="B362" s="153"/>
      <c r="C362" s="119"/>
      <c r="D362" s="119"/>
      <c r="E362" s="154"/>
      <c r="F362" s="45"/>
      <c r="P362" s="130"/>
      <c r="S362" s="130"/>
      <c r="T362" s="130"/>
      <c r="U362" s="130"/>
      <c r="V362" s="130"/>
      <c r="W362" s="130"/>
      <c r="Y362" s="130"/>
      <c r="Z362" s="130"/>
      <c r="AA362" s="130"/>
      <c r="AB362" s="130"/>
      <c r="AC362" s="130"/>
      <c r="AD362" s="130"/>
      <c r="AI362" s="166"/>
      <c r="AJ362" s="130"/>
      <c r="AK362" s="130"/>
      <c r="AL362" s="130"/>
      <c r="AM362" s="130"/>
      <c r="AN362" s="130"/>
      <c r="AP362" s="32"/>
    </row>
    <row r="363" spans="1:42" x14ac:dyDescent="0.25">
      <c r="A363" s="148"/>
      <c r="B363" s="153"/>
      <c r="C363" s="119"/>
      <c r="D363" s="119"/>
      <c r="E363" s="154"/>
      <c r="F363" s="45"/>
      <c r="P363" s="130"/>
      <c r="S363" s="130"/>
      <c r="T363" s="130"/>
      <c r="U363" s="130"/>
      <c r="V363" s="130"/>
      <c r="W363" s="130"/>
      <c r="Y363" s="130"/>
      <c r="Z363" s="130"/>
      <c r="AA363" s="130"/>
      <c r="AB363" s="130"/>
      <c r="AC363" s="130"/>
      <c r="AD363" s="130"/>
      <c r="AI363" s="166"/>
      <c r="AJ363" s="130"/>
      <c r="AK363" s="130"/>
      <c r="AL363" s="130"/>
      <c r="AM363" s="130"/>
      <c r="AN363" s="130"/>
      <c r="AP363" s="32"/>
    </row>
    <row r="364" spans="1:42" x14ac:dyDescent="0.25">
      <c r="A364" s="148"/>
      <c r="B364" s="153"/>
      <c r="C364" s="119"/>
      <c r="D364" s="119"/>
      <c r="E364" s="154"/>
      <c r="F364" s="45"/>
      <c r="P364" s="130"/>
      <c r="S364" s="130"/>
      <c r="T364" s="130"/>
      <c r="U364" s="130"/>
      <c r="V364" s="130"/>
      <c r="W364" s="130"/>
      <c r="Y364" s="130"/>
      <c r="Z364" s="130"/>
      <c r="AA364" s="130"/>
      <c r="AB364" s="130"/>
      <c r="AC364" s="130"/>
      <c r="AD364" s="130"/>
      <c r="AI364" s="166"/>
      <c r="AJ364" s="130"/>
      <c r="AK364" s="130"/>
      <c r="AL364" s="130"/>
      <c r="AM364" s="130"/>
      <c r="AN364" s="130"/>
      <c r="AP364" s="32"/>
    </row>
    <row r="365" spans="1:42" x14ac:dyDescent="0.25">
      <c r="A365" s="148"/>
      <c r="B365" s="153"/>
      <c r="C365" s="119"/>
      <c r="D365" s="119"/>
      <c r="E365" s="154"/>
      <c r="F365" s="45"/>
      <c r="P365" s="130"/>
      <c r="S365" s="130"/>
      <c r="T365" s="130"/>
      <c r="U365" s="130"/>
      <c r="V365" s="130"/>
      <c r="W365" s="130"/>
      <c r="Y365" s="130"/>
      <c r="Z365" s="130"/>
      <c r="AA365" s="130"/>
      <c r="AB365" s="130"/>
      <c r="AC365" s="130"/>
      <c r="AD365" s="130"/>
      <c r="AI365" s="166"/>
      <c r="AJ365" s="130"/>
      <c r="AK365" s="130"/>
      <c r="AL365" s="130"/>
      <c r="AM365" s="130"/>
      <c r="AN365" s="130"/>
      <c r="AP365" s="32"/>
    </row>
    <row r="366" spans="1:42" x14ac:dyDescent="0.25">
      <c r="A366" s="148"/>
      <c r="B366" s="153"/>
      <c r="C366" s="119"/>
      <c r="D366" s="119"/>
      <c r="E366" s="154"/>
      <c r="F366" s="45"/>
      <c r="P366" s="130"/>
      <c r="S366" s="130"/>
      <c r="T366" s="130"/>
      <c r="U366" s="130"/>
      <c r="V366" s="130"/>
      <c r="W366" s="130"/>
      <c r="Y366" s="130"/>
      <c r="Z366" s="130"/>
      <c r="AA366" s="130"/>
      <c r="AB366" s="130"/>
      <c r="AC366" s="130"/>
      <c r="AD366" s="130"/>
      <c r="AI366" s="166"/>
      <c r="AJ366" s="130"/>
      <c r="AK366" s="130"/>
      <c r="AL366" s="130"/>
      <c r="AM366" s="130"/>
      <c r="AN366" s="130"/>
      <c r="AP366" s="32"/>
    </row>
    <row r="367" spans="1:42" x14ac:dyDescent="0.25">
      <c r="A367" s="148"/>
      <c r="B367" s="153"/>
      <c r="C367" s="119"/>
      <c r="D367" s="119"/>
      <c r="E367" s="154"/>
      <c r="F367" s="45"/>
      <c r="P367" s="130"/>
      <c r="S367" s="130"/>
      <c r="T367" s="130"/>
      <c r="U367" s="130"/>
      <c r="V367" s="130"/>
      <c r="W367" s="130"/>
      <c r="Y367" s="130"/>
      <c r="Z367" s="130"/>
      <c r="AA367" s="130"/>
      <c r="AB367" s="130"/>
      <c r="AC367" s="130"/>
      <c r="AD367" s="130"/>
      <c r="AI367" s="166"/>
      <c r="AJ367" s="130"/>
      <c r="AK367" s="130"/>
      <c r="AL367" s="130"/>
      <c r="AM367" s="130"/>
      <c r="AN367" s="130"/>
      <c r="AP367" s="32"/>
    </row>
    <row r="368" spans="1:42" x14ac:dyDescent="0.25">
      <c r="A368" s="148"/>
      <c r="B368" s="153"/>
      <c r="C368" s="119"/>
      <c r="D368" s="119"/>
      <c r="E368" s="154"/>
      <c r="F368" s="45"/>
      <c r="P368" s="130"/>
      <c r="S368" s="130"/>
      <c r="T368" s="130"/>
      <c r="U368" s="130"/>
      <c r="V368" s="130"/>
      <c r="W368" s="130"/>
      <c r="Y368" s="130"/>
      <c r="Z368" s="130"/>
      <c r="AA368" s="130"/>
      <c r="AB368" s="130"/>
      <c r="AC368" s="130"/>
      <c r="AD368" s="130"/>
      <c r="AI368" s="166"/>
      <c r="AJ368" s="130"/>
      <c r="AK368" s="130"/>
      <c r="AL368" s="130"/>
      <c r="AM368" s="130"/>
      <c r="AN368" s="130"/>
      <c r="AP368" s="32"/>
    </row>
    <row r="369" spans="1:42" x14ac:dyDescent="0.25">
      <c r="A369" s="148"/>
      <c r="B369" s="153"/>
      <c r="C369" s="119"/>
      <c r="D369" s="119"/>
      <c r="E369" s="154"/>
      <c r="F369" s="45"/>
      <c r="P369" s="130"/>
      <c r="S369" s="130"/>
      <c r="T369" s="130"/>
      <c r="U369" s="130"/>
      <c r="V369" s="130"/>
      <c r="W369" s="130"/>
      <c r="Y369" s="130"/>
      <c r="Z369" s="130"/>
      <c r="AA369" s="130"/>
      <c r="AB369" s="130"/>
      <c r="AC369" s="130"/>
      <c r="AD369" s="130"/>
      <c r="AI369" s="166"/>
      <c r="AJ369" s="130"/>
      <c r="AK369" s="130"/>
      <c r="AL369" s="130"/>
      <c r="AM369" s="130"/>
      <c r="AN369" s="130"/>
      <c r="AP369" s="32"/>
    </row>
    <row r="370" spans="1:42" x14ac:dyDescent="0.25">
      <c r="A370" s="148"/>
      <c r="B370" s="153"/>
      <c r="C370" s="119"/>
      <c r="D370" s="119"/>
      <c r="E370" s="154"/>
      <c r="F370" s="45"/>
      <c r="P370" s="130"/>
      <c r="S370" s="130"/>
      <c r="T370" s="130"/>
      <c r="U370" s="130"/>
      <c r="V370" s="130"/>
      <c r="W370" s="130"/>
      <c r="Y370" s="130"/>
      <c r="Z370" s="130"/>
      <c r="AA370" s="130"/>
      <c r="AB370" s="130"/>
      <c r="AC370" s="130"/>
      <c r="AD370" s="130"/>
      <c r="AI370" s="166"/>
      <c r="AJ370" s="130"/>
      <c r="AK370" s="130"/>
      <c r="AL370" s="130"/>
      <c r="AM370" s="130"/>
      <c r="AN370" s="130"/>
      <c r="AP370" s="32"/>
    </row>
    <row r="371" spans="1:42" x14ac:dyDescent="0.25">
      <c r="A371" s="148"/>
      <c r="B371" s="153"/>
      <c r="C371" s="119"/>
      <c r="D371" s="119"/>
      <c r="E371" s="154"/>
      <c r="F371" s="45"/>
      <c r="P371" s="130"/>
      <c r="S371" s="130"/>
      <c r="T371" s="130"/>
      <c r="U371" s="130"/>
      <c r="V371" s="130"/>
      <c r="W371" s="130"/>
      <c r="Y371" s="130"/>
      <c r="Z371" s="130"/>
      <c r="AA371" s="130"/>
      <c r="AB371" s="130"/>
      <c r="AC371" s="130"/>
      <c r="AD371" s="130"/>
      <c r="AI371" s="166"/>
      <c r="AJ371" s="130"/>
      <c r="AK371" s="130"/>
      <c r="AL371" s="130"/>
      <c r="AM371" s="130"/>
      <c r="AN371" s="130"/>
      <c r="AP371" s="32"/>
    </row>
    <row r="372" spans="1:42" x14ac:dyDescent="0.25">
      <c r="A372" s="148"/>
      <c r="B372" s="153"/>
      <c r="C372" s="119"/>
      <c r="D372" s="119"/>
      <c r="E372" s="154"/>
      <c r="F372" s="45"/>
      <c r="P372" s="130"/>
      <c r="S372" s="130"/>
      <c r="T372" s="130"/>
      <c r="U372" s="130"/>
      <c r="V372" s="130"/>
      <c r="W372" s="130"/>
      <c r="Y372" s="130"/>
      <c r="Z372" s="130"/>
      <c r="AA372" s="130"/>
      <c r="AB372" s="130"/>
      <c r="AC372" s="130"/>
      <c r="AD372" s="130"/>
      <c r="AI372" s="166"/>
      <c r="AJ372" s="130"/>
      <c r="AK372" s="130"/>
      <c r="AL372" s="130"/>
      <c r="AM372" s="130"/>
      <c r="AN372" s="130"/>
      <c r="AP372" s="32"/>
    </row>
    <row r="373" spans="1:42" x14ac:dyDescent="0.25">
      <c r="A373" s="148"/>
      <c r="B373" s="153"/>
      <c r="C373" s="119"/>
      <c r="D373" s="119"/>
      <c r="E373" s="154"/>
      <c r="F373" s="45"/>
      <c r="P373" s="130"/>
      <c r="S373" s="130"/>
      <c r="T373" s="130"/>
      <c r="U373" s="130"/>
      <c r="V373" s="130"/>
      <c r="W373" s="130"/>
      <c r="Y373" s="130"/>
      <c r="Z373" s="130"/>
      <c r="AA373" s="130"/>
      <c r="AB373" s="130"/>
      <c r="AC373" s="130"/>
      <c r="AD373" s="130"/>
      <c r="AI373" s="166"/>
      <c r="AJ373" s="130"/>
      <c r="AK373" s="130"/>
      <c r="AL373" s="130"/>
      <c r="AM373" s="130"/>
      <c r="AN373" s="130"/>
      <c r="AP373" s="32"/>
    </row>
    <row r="374" spans="1:42" x14ac:dyDescent="0.25">
      <c r="A374" s="148"/>
      <c r="B374" s="153"/>
      <c r="C374" s="119"/>
      <c r="D374" s="119"/>
      <c r="E374" s="154"/>
      <c r="F374" s="45"/>
      <c r="P374" s="130"/>
      <c r="S374" s="130"/>
      <c r="T374" s="130"/>
      <c r="U374" s="130"/>
      <c r="V374" s="130"/>
      <c r="W374" s="130"/>
      <c r="Y374" s="130"/>
      <c r="Z374" s="130"/>
      <c r="AA374" s="130"/>
      <c r="AB374" s="130"/>
      <c r="AC374" s="130"/>
      <c r="AD374" s="130"/>
      <c r="AI374" s="166"/>
      <c r="AJ374" s="130"/>
      <c r="AK374" s="130"/>
      <c r="AL374" s="130"/>
      <c r="AM374" s="130"/>
      <c r="AN374" s="130"/>
      <c r="AP374" s="32"/>
    </row>
    <row r="375" spans="1:42" x14ac:dyDescent="0.25">
      <c r="A375" s="148"/>
      <c r="B375" s="153"/>
      <c r="C375" s="119"/>
      <c r="D375" s="119"/>
      <c r="E375" s="154"/>
      <c r="F375" s="45"/>
      <c r="P375" s="130"/>
      <c r="S375" s="130"/>
      <c r="T375" s="130"/>
      <c r="U375" s="130"/>
      <c r="V375" s="130"/>
      <c r="W375" s="130"/>
      <c r="Y375" s="130"/>
      <c r="Z375" s="130"/>
      <c r="AA375" s="130"/>
      <c r="AB375" s="130"/>
      <c r="AC375" s="130"/>
      <c r="AD375" s="130"/>
      <c r="AI375" s="166"/>
      <c r="AJ375" s="130"/>
      <c r="AK375" s="130"/>
      <c r="AL375" s="130"/>
      <c r="AM375" s="130"/>
      <c r="AN375" s="130"/>
      <c r="AP375" s="32"/>
    </row>
    <row r="376" spans="1:42" x14ac:dyDescent="0.25">
      <c r="A376" s="148"/>
      <c r="B376" s="153"/>
      <c r="C376" s="119"/>
      <c r="D376" s="119"/>
      <c r="E376" s="154"/>
      <c r="F376" s="45"/>
      <c r="P376" s="130"/>
      <c r="S376" s="130"/>
      <c r="T376" s="130"/>
      <c r="U376" s="130"/>
      <c r="V376" s="130"/>
      <c r="W376" s="130"/>
      <c r="Y376" s="130"/>
      <c r="Z376" s="130"/>
      <c r="AA376" s="130"/>
      <c r="AB376" s="130"/>
      <c r="AC376" s="130"/>
      <c r="AD376" s="130"/>
      <c r="AI376" s="166"/>
      <c r="AJ376" s="130"/>
      <c r="AK376" s="130"/>
      <c r="AL376" s="130"/>
      <c r="AM376" s="130"/>
      <c r="AN376" s="130"/>
      <c r="AP376" s="32"/>
    </row>
    <row r="377" spans="1:42" x14ac:dyDescent="0.25">
      <c r="A377" s="148"/>
      <c r="B377" s="153"/>
      <c r="C377" s="119"/>
      <c r="D377" s="119"/>
      <c r="E377" s="154"/>
      <c r="F377" s="45"/>
      <c r="P377" s="130"/>
      <c r="S377" s="130"/>
      <c r="T377" s="130"/>
      <c r="U377" s="130"/>
      <c r="V377" s="130"/>
      <c r="W377" s="130"/>
      <c r="Y377" s="130"/>
      <c r="Z377" s="130"/>
      <c r="AA377" s="130"/>
      <c r="AB377" s="130"/>
      <c r="AC377" s="130"/>
      <c r="AD377" s="130"/>
      <c r="AI377" s="166"/>
      <c r="AJ377" s="130"/>
      <c r="AK377" s="130"/>
      <c r="AL377" s="130"/>
      <c r="AM377" s="130"/>
      <c r="AN377" s="130"/>
      <c r="AP377" s="32"/>
    </row>
    <row r="378" spans="1:42" x14ac:dyDescent="0.25">
      <c r="A378" s="148"/>
      <c r="B378" s="153"/>
      <c r="C378" s="119"/>
      <c r="D378" s="119"/>
      <c r="E378" s="154"/>
      <c r="F378" s="45"/>
      <c r="P378" s="130"/>
      <c r="S378" s="130"/>
      <c r="T378" s="130"/>
      <c r="U378" s="130"/>
      <c r="V378" s="130"/>
      <c r="W378" s="130"/>
      <c r="Y378" s="130"/>
      <c r="Z378" s="130"/>
      <c r="AA378" s="130"/>
      <c r="AB378" s="130"/>
      <c r="AC378" s="130"/>
      <c r="AD378" s="130"/>
      <c r="AI378" s="166"/>
      <c r="AJ378" s="130"/>
      <c r="AK378" s="130"/>
      <c r="AL378" s="130"/>
      <c r="AM378" s="130"/>
      <c r="AN378" s="130"/>
      <c r="AP378" s="32"/>
    </row>
    <row r="379" spans="1:42" x14ac:dyDescent="0.25">
      <c r="A379" s="148"/>
      <c r="B379" s="153"/>
      <c r="C379" s="119"/>
      <c r="D379" s="119"/>
      <c r="E379" s="154"/>
      <c r="F379" s="45"/>
      <c r="P379" s="130"/>
      <c r="S379" s="130"/>
      <c r="T379" s="130"/>
      <c r="U379" s="130"/>
      <c r="V379" s="130"/>
      <c r="W379" s="130"/>
      <c r="Y379" s="130"/>
      <c r="Z379" s="130"/>
      <c r="AA379" s="130"/>
      <c r="AB379" s="130"/>
      <c r="AC379" s="130"/>
      <c r="AD379" s="130"/>
      <c r="AI379" s="166"/>
      <c r="AJ379" s="130"/>
      <c r="AK379" s="130"/>
      <c r="AL379" s="130"/>
      <c r="AM379" s="130"/>
      <c r="AN379" s="130"/>
      <c r="AP379" s="32"/>
    </row>
    <row r="380" spans="1:42" x14ac:dyDescent="0.25">
      <c r="A380" s="148"/>
      <c r="B380" s="153"/>
      <c r="C380" s="119"/>
      <c r="D380" s="119"/>
      <c r="E380" s="154"/>
      <c r="F380" s="45"/>
      <c r="P380" s="130"/>
      <c r="S380" s="130"/>
      <c r="T380" s="130"/>
      <c r="U380" s="130"/>
      <c r="V380" s="130"/>
      <c r="W380" s="130"/>
      <c r="Y380" s="130"/>
      <c r="Z380" s="130"/>
      <c r="AA380" s="130"/>
      <c r="AB380" s="130"/>
      <c r="AC380" s="130"/>
      <c r="AD380" s="130"/>
      <c r="AI380" s="166"/>
      <c r="AJ380" s="130"/>
      <c r="AK380" s="130"/>
      <c r="AL380" s="130"/>
      <c r="AM380" s="130"/>
      <c r="AN380" s="130"/>
      <c r="AP380" s="32"/>
    </row>
    <row r="381" spans="1:42" x14ac:dyDescent="0.25">
      <c r="A381" s="148"/>
      <c r="B381" s="153"/>
      <c r="C381" s="119"/>
      <c r="D381" s="119"/>
      <c r="E381" s="154"/>
      <c r="F381" s="45"/>
      <c r="P381" s="130"/>
      <c r="S381" s="130"/>
      <c r="T381" s="130"/>
      <c r="U381" s="130"/>
      <c r="V381" s="130"/>
      <c r="W381" s="130"/>
      <c r="Y381" s="130"/>
      <c r="Z381" s="130"/>
      <c r="AA381" s="130"/>
      <c r="AB381" s="130"/>
      <c r="AC381" s="130"/>
      <c r="AD381" s="130"/>
      <c r="AI381" s="166"/>
      <c r="AJ381" s="130"/>
      <c r="AK381" s="130"/>
      <c r="AL381" s="130"/>
      <c r="AM381" s="130"/>
      <c r="AN381" s="130"/>
      <c r="AP381" s="32"/>
    </row>
    <row r="382" spans="1:42" x14ac:dyDescent="0.25">
      <c r="A382" s="148"/>
      <c r="B382" s="153"/>
      <c r="C382" s="119"/>
      <c r="D382" s="119"/>
      <c r="E382" s="154"/>
      <c r="F382" s="45"/>
      <c r="P382" s="130"/>
      <c r="S382" s="130"/>
      <c r="T382" s="130"/>
      <c r="U382" s="130"/>
      <c r="V382" s="130"/>
      <c r="W382" s="130"/>
      <c r="Y382" s="130"/>
      <c r="Z382" s="130"/>
      <c r="AA382" s="130"/>
      <c r="AB382" s="130"/>
      <c r="AC382" s="130"/>
      <c r="AD382" s="130"/>
      <c r="AI382" s="166"/>
      <c r="AJ382" s="130"/>
      <c r="AK382" s="130"/>
      <c r="AL382" s="130"/>
      <c r="AM382" s="130"/>
      <c r="AN382" s="130"/>
      <c r="AP382" s="32"/>
    </row>
    <row r="383" spans="1:42" x14ac:dyDescent="0.25">
      <c r="A383" s="148"/>
      <c r="B383" s="153"/>
      <c r="C383" s="119"/>
      <c r="D383" s="119"/>
      <c r="E383" s="154"/>
      <c r="F383" s="45"/>
      <c r="P383" s="130"/>
      <c r="S383" s="130"/>
      <c r="T383" s="130"/>
      <c r="U383" s="130"/>
      <c r="V383" s="130"/>
      <c r="W383" s="130"/>
      <c r="Y383" s="130"/>
      <c r="Z383" s="130"/>
      <c r="AA383" s="130"/>
      <c r="AB383" s="130"/>
      <c r="AC383" s="130"/>
      <c r="AD383" s="130"/>
      <c r="AI383" s="166"/>
      <c r="AJ383" s="130"/>
      <c r="AK383" s="130"/>
      <c r="AL383" s="130"/>
      <c r="AM383" s="130"/>
      <c r="AN383" s="130"/>
      <c r="AP383" s="32"/>
    </row>
    <row r="384" spans="1:42" x14ac:dyDescent="0.25">
      <c r="A384" s="148"/>
      <c r="B384" s="153"/>
      <c r="C384" s="119"/>
      <c r="D384" s="119"/>
      <c r="E384" s="154"/>
      <c r="F384" s="45"/>
      <c r="P384" s="130"/>
      <c r="S384" s="130"/>
      <c r="T384" s="130"/>
      <c r="U384" s="130"/>
      <c r="V384" s="130"/>
      <c r="W384" s="130"/>
      <c r="Y384" s="130"/>
      <c r="Z384" s="130"/>
      <c r="AA384" s="130"/>
      <c r="AB384" s="130"/>
      <c r="AC384" s="130"/>
      <c r="AD384" s="130"/>
      <c r="AI384" s="166"/>
      <c r="AJ384" s="130"/>
      <c r="AK384" s="130"/>
      <c r="AL384" s="130"/>
      <c r="AM384" s="130"/>
      <c r="AN384" s="130"/>
      <c r="AP384" s="32"/>
    </row>
    <row r="385" spans="1:42" x14ac:dyDescent="0.25">
      <c r="A385" s="148"/>
      <c r="B385" s="153"/>
      <c r="C385" s="119"/>
      <c r="D385" s="119"/>
      <c r="E385" s="154"/>
      <c r="F385" s="45"/>
      <c r="P385" s="130"/>
      <c r="S385" s="130"/>
      <c r="T385" s="130"/>
      <c r="U385" s="130"/>
      <c r="V385" s="130"/>
      <c r="W385" s="130"/>
      <c r="Y385" s="130"/>
      <c r="Z385" s="130"/>
      <c r="AA385" s="130"/>
      <c r="AB385" s="130"/>
      <c r="AC385" s="130"/>
      <c r="AD385" s="130"/>
      <c r="AI385" s="166"/>
      <c r="AJ385" s="130"/>
      <c r="AK385" s="130"/>
      <c r="AL385" s="130"/>
      <c r="AM385" s="130"/>
      <c r="AN385" s="130"/>
      <c r="AP385" s="32"/>
    </row>
    <row r="386" spans="1:42" x14ac:dyDescent="0.25">
      <c r="A386" s="148"/>
      <c r="B386" s="153"/>
      <c r="C386" s="119"/>
      <c r="D386" s="119"/>
      <c r="E386" s="154"/>
      <c r="F386" s="45"/>
      <c r="P386" s="130"/>
      <c r="S386" s="130"/>
      <c r="T386" s="130"/>
      <c r="U386" s="130"/>
      <c r="V386" s="130"/>
      <c r="W386" s="130"/>
      <c r="Y386" s="130"/>
      <c r="Z386" s="130"/>
      <c r="AA386" s="130"/>
      <c r="AB386" s="130"/>
      <c r="AC386" s="130"/>
      <c r="AD386" s="130"/>
      <c r="AI386" s="166"/>
      <c r="AJ386" s="130"/>
      <c r="AK386" s="130"/>
      <c r="AL386" s="130"/>
      <c r="AM386" s="130"/>
      <c r="AN386" s="130"/>
      <c r="AP386" s="32"/>
    </row>
    <row r="387" spans="1:42" x14ac:dyDescent="0.25">
      <c r="A387" s="148"/>
      <c r="B387" s="153"/>
      <c r="C387" s="119"/>
      <c r="D387" s="119"/>
      <c r="E387" s="154"/>
      <c r="F387" s="45"/>
      <c r="P387" s="130"/>
      <c r="S387" s="130"/>
      <c r="T387" s="130"/>
      <c r="U387" s="130"/>
      <c r="V387" s="130"/>
      <c r="W387" s="130"/>
      <c r="Y387" s="130"/>
      <c r="Z387" s="130"/>
      <c r="AA387" s="130"/>
      <c r="AB387" s="130"/>
      <c r="AC387" s="130"/>
      <c r="AD387" s="130"/>
      <c r="AI387" s="166"/>
      <c r="AJ387" s="130"/>
      <c r="AK387" s="130"/>
      <c r="AL387" s="130"/>
      <c r="AM387" s="130"/>
      <c r="AN387" s="130"/>
      <c r="AP387" s="32"/>
    </row>
    <row r="388" spans="1:42" x14ac:dyDescent="0.25">
      <c r="A388" s="148"/>
      <c r="B388" s="153"/>
      <c r="C388" s="119"/>
      <c r="D388" s="119"/>
      <c r="E388" s="154"/>
      <c r="F388" s="45"/>
      <c r="P388" s="130"/>
      <c r="S388" s="130"/>
      <c r="T388" s="130"/>
      <c r="U388" s="130"/>
      <c r="V388" s="130"/>
      <c r="W388" s="130"/>
      <c r="Y388" s="130"/>
      <c r="Z388" s="130"/>
      <c r="AA388" s="130"/>
      <c r="AB388" s="130"/>
      <c r="AC388" s="130"/>
      <c r="AD388" s="130"/>
      <c r="AI388" s="166"/>
      <c r="AJ388" s="130"/>
      <c r="AK388" s="130"/>
      <c r="AL388" s="130"/>
      <c r="AM388" s="130"/>
      <c r="AN388" s="130"/>
      <c r="AP388" s="32"/>
    </row>
    <row r="389" spans="1:42" x14ac:dyDescent="0.25">
      <c r="A389" s="148"/>
      <c r="B389" s="153"/>
      <c r="C389" s="119"/>
      <c r="D389" s="119"/>
      <c r="E389" s="154"/>
      <c r="F389" s="45"/>
      <c r="P389" s="130"/>
      <c r="S389" s="130"/>
      <c r="T389" s="130"/>
      <c r="U389" s="130"/>
      <c r="V389" s="130"/>
      <c r="W389" s="130"/>
      <c r="Y389" s="130"/>
      <c r="Z389" s="130"/>
      <c r="AA389" s="130"/>
      <c r="AB389" s="130"/>
      <c r="AC389" s="130"/>
      <c r="AD389" s="130"/>
      <c r="AI389" s="166"/>
      <c r="AJ389" s="130"/>
      <c r="AK389" s="130"/>
      <c r="AL389" s="130"/>
      <c r="AM389" s="130"/>
      <c r="AN389" s="130"/>
      <c r="AP389" s="32"/>
    </row>
    <row r="390" spans="1:42" x14ac:dyDescent="0.25">
      <c r="A390" s="148"/>
      <c r="B390" s="153"/>
      <c r="C390" s="119"/>
      <c r="D390" s="119"/>
      <c r="E390" s="154"/>
      <c r="F390" s="45"/>
      <c r="P390" s="130"/>
      <c r="S390" s="130"/>
      <c r="T390" s="130"/>
      <c r="U390" s="130"/>
      <c r="V390" s="130"/>
      <c r="W390" s="130"/>
      <c r="Y390" s="130"/>
      <c r="Z390" s="130"/>
      <c r="AA390" s="130"/>
      <c r="AB390" s="130"/>
      <c r="AC390" s="130"/>
      <c r="AD390" s="130"/>
      <c r="AI390" s="166"/>
      <c r="AJ390" s="130"/>
      <c r="AK390" s="130"/>
      <c r="AL390" s="130"/>
      <c r="AM390" s="130"/>
      <c r="AN390" s="130"/>
      <c r="AP390" s="32"/>
    </row>
    <row r="391" spans="1:42" x14ac:dyDescent="0.25">
      <c r="A391" s="148"/>
      <c r="B391" s="153"/>
      <c r="C391" s="119"/>
      <c r="D391" s="119"/>
      <c r="E391" s="154"/>
      <c r="F391" s="45"/>
      <c r="P391" s="130"/>
      <c r="S391" s="130"/>
      <c r="T391" s="130"/>
      <c r="U391" s="130"/>
      <c r="V391" s="130"/>
      <c r="W391" s="130"/>
      <c r="Y391" s="130"/>
      <c r="Z391" s="130"/>
      <c r="AA391" s="130"/>
      <c r="AB391" s="130"/>
      <c r="AC391" s="130"/>
      <c r="AD391" s="130"/>
      <c r="AI391" s="166"/>
      <c r="AJ391" s="130"/>
      <c r="AK391" s="130"/>
      <c r="AL391" s="130"/>
      <c r="AM391" s="130"/>
      <c r="AN391" s="130"/>
      <c r="AP391" s="32"/>
    </row>
    <row r="392" spans="1:42" x14ac:dyDescent="0.25">
      <c r="A392" s="148"/>
      <c r="B392" s="153"/>
      <c r="C392" s="119"/>
      <c r="D392" s="119"/>
      <c r="E392" s="154"/>
      <c r="F392" s="45"/>
      <c r="P392" s="130"/>
      <c r="S392" s="130"/>
      <c r="T392" s="130"/>
      <c r="U392" s="130"/>
      <c r="V392" s="130"/>
      <c r="W392" s="130"/>
      <c r="Y392" s="130"/>
      <c r="Z392" s="130"/>
      <c r="AA392" s="130"/>
      <c r="AB392" s="130"/>
      <c r="AC392" s="130"/>
      <c r="AD392" s="130"/>
      <c r="AI392" s="166"/>
      <c r="AJ392" s="130"/>
      <c r="AK392" s="130"/>
      <c r="AL392" s="130"/>
      <c r="AM392" s="130"/>
      <c r="AN392" s="130"/>
      <c r="AP392" s="32"/>
    </row>
    <row r="393" spans="1:42" x14ac:dyDescent="0.25">
      <c r="A393" s="148"/>
      <c r="B393" s="153"/>
      <c r="C393" s="119"/>
      <c r="D393" s="119"/>
      <c r="E393" s="154"/>
      <c r="F393" s="45"/>
      <c r="P393" s="130"/>
      <c r="S393" s="130"/>
      <c r="T393" s="130"/>
      <c r="U393" s="130"/>
      <c r="V393" s="130"/>
      <c r="W393" s="130"/>
      <c r="Y393" s="130"/>
      <c r="Z393" s="130"/>
      <c r="AA393" s="130"/>
      <c r="AB393" s="130"/>
      <c r="AC393" s="130"/>
      <c r="AD393" s="130"/>
      <c r="AI393" s="166"/>
      <c r="AJ393" s="130"/>
      <c r="AK393" s="130"/>
      <c r="AL393" s="130"/>
      <c r="AM393" s="130"/>
      <c r="AN393" s="130"/>
      <c r="AP393" s="32"/>
    </row>
    <row r="394" spans="1:42" x14ac:dyDescent="0.25">
      <c r="A394" s="148"/>
      <c r="B394" s="153"/>
      <c r="C394" s="119"/>
      <c r="D394" s="119"/>
      <c r="E394" s="154"/>
      <c r="F394" s="45"/>
      <c r="P394" s="130"/>
      <c r="S394" s="130"/>
      <c r="T394" s="130"/>
      <c r="U394" s="130"/>
      <c r="V394" s="130"/>
      <c r="W394" s="130"/>
      <c r="Y394" s="130"/>
      <c r="Z394" s="130"/>
      <c r="AA394" s="130"/>
      <c r="AB394" s="130"/>
      <c r="AC394" s="130"/>
      <c r="AD394" s="130"/>
      <c r="AI394" s="166"/>
      <c r="AJ394" s="130"/>
      <c r="AK394" s="130"/>
      <c r="AL394" s="130"/>
      <c r="AM394" s="130"/>
      <c r="AN394" s="130"/>
      <c r="AP394" s="32"/>
    </row>
    <row r="395" spans="1:42" x14ac:dyDescent="0.25">
      <c r="A395" s="148"/>
      <c r="B395" s="153"/>
      <c r="C395" s="119"/>
      <c r="D395" s="119"/>
      <c r="E395" s="154"/>
      <c r="F395" s="45"/>
      <c r="P395" s="130"/>
      <c r="S395" s="130"/>
      <c r="T395" s="130"/>
      <c r="U395" s="130"/>
      <c r="V395" s="130"/>
      <c r="W395" s="130"/>
      <c r="Y395" s="130"/>
      <c r="Z395" s="130"/>
      <c r="AA395" s="130"/>
      <c r="AB395" s="130"/>
      <c r="AC395" s="130"/>
      <c r="AD395" s="130"/>
      <c r="AI395" s="166"/>
      <c r="AJ395" s="130"/>
      <c r="AK395" s="130"/>
      <c r="AL395" s="130"/>
      <c r="AM395" s="130"/>
      <c r="AN395" s="130"/>
      <c r="AP395" s="32"/>
    </row>
    <row r="396" spans="1:42" x14ac:dyDescent="0.25">
      <c r="A396" s="148"/>
      <c r="B396" s="153"/>
      <c r="C396" s="119"/>
      <c r="D396" s="119"/>
      <c r="E396" s="154"/>
      <c r="F396" s="45"/>
      <c r="P396" s="130"/>
      <c r="S396" s="130"/>
      <c r="T396" s="130"/>
      <c r="U396" s="130"/>
      <c r="V396" s="130"/>
      <c r="W396" s="130"/>
      <c r="Y396" s="130"/>
      <c r="Z396" s="130"/>
      <c r="AA396" s="130"/>
      <c r="AB396" s="130"/>
      <c r="AC396" s="130"/>
      <c r="AD396" s="130"/>
      <c r="AI396" s="166"/>
      <c r="AJ396" s="130"/>
      <c r="AK396" s="130"/>
      <c r="AL396" s="130"/>
      <c r="AM396" s="130"/>
      <c r="AN396" s="130"/>
      <c r="AP396" s="32"/>
    </row>
    <row r="397" spans="1:42" x14ac:dyDescent="0.25">
      <c r="A397" s="148"/>
      <c r="B397" s="153"/>
      <c r="C397" s="119"/>
      <c r="D397" s="119"/>
      <c r="E397" s="154"/>
      <c r="F397" s="45"/>
      <c r="P397" s="130"/>
      <c r="S397" s="130"/>
      <c r="T397" s="130"/>
      <c r="U397" s="130"/>
      <c r="V397" s="130"/>
      <c r="W397" s="130"/>
      <c r="Y397" s="130"/>
      <c r="Z397" s="130"/>
      <c r="AA397" s="130"/>
      <c r="AB397" s="130"/>
      <c r="AC397" s="130"/>
      <c r="AD397" s="130"/>
      <c r="AI397" s="166"/>
      <c r="AJ397" s="130"/>
      <c r="AK397" s="130"/>
      <c r="AL397" s="130"/>
      <c r="AM397" s="130"/>
      <c r="AN397" s="130"/>
      <c r="AP397" s="32"/>
    </row>
    <row r="398" spans="1:42" x14ac:dyDescent="0.25">
      <c r="A398" s="148"/>
      <c r="B398" s="153"/>
      <c r="C398" s="119"/>
      <c r="D398" s="119"/>
      <c r="E398" s="154"/>
      <c r="F398" s="45"/>
      <c r="P398" s="130"/>
      <c r="S398" s="130"/>
      <c r="T398" s="130"/>
      <c r="U398" s="130"/>
      <c r="V398" s="130"/>
      <c r="W398" s="130"/>
      <c r="Y398" s="130"/>
      <c r="Z398" s="130"/>
      <c r="AA398" s="130"/>
      <c r="AB398" s="130"/>
      <c r="AC398" s="130"/>
      <c r="AD398" s="130"/>
      <c r="AI398" s="166"/>
      <c r="AJ398" s="130"/>
      <c r="AK398" s="130"/>
      <c r="AL398" s="130"/>
      <c r="AM398" s="130"/>
      <c r="AN398" s="130"/>
      <c r="AP398" s="32"/>
    </row>
    <row r="399" spans="1:42" x14ac:dyDescent="0.25">
      <c r="A399" s="148"/>
      <c r="B399" s="153"/>
      <c r="C399" s="119"/>
      <c r="D399" s="119"/>
      <c r="E399" s="154"/>
      <c r="F399" s="45"/>
      <c r="P399" s="130"/>
      <c r="S399" s="130"/>
      <c r="T399" s="130"/>
      <c r="U399" s="130"/>
      <c r="V399" s="130"/>
      <c r="W399" s="130"/>
      <c r="Y399" s="130"/>
      <c r="Z399" s="130"/>
      <c r="AA399" s="130"/>
      <c r="AB399" s="130"/>
      <c r="AC399" s="130"/>
      <c r="AD399" s="130"/>
      <c r="AI399" s="166"/>
      <c r="AJ399" s="130"/>
      <c r="AK399" s="130"/>
      <c r="AL399" s="130"/>
      <c r="AM399" s="130"/>
      <c r="AN399" s="130"/>
      <c r="AP399" s="32"/>
    </row>
    <row r="400" spans="1:42" x14ac:dyDescent="0.25">
      <c r="A400" s="148"/>
      <c r="B400" s="153"/>
      <c r="C400" s="119"/>
      <c r="D400" s="119"/>
      <c r="E400" s="154"/>
      <c r="F400" s="45"/>
      <c r="P400" s="130"/>
      <c r="S400" s="130"/>
      <c r="T400" s="130"/>
      <c r="U400" s="130"/>
      <c r="V400" s="130"/>
      <c r="W400" s="130"/>
      <c r="Y400" s="130"/>
      <c r="Z400" s="130"/>
      <c r="AA400" s="130"/>
      <c r="AB400" s="130"/>
      <c r="AC400" s="130"/>
      <c r="AD400" s="130"/>
      <c r="AI400" s="166"/>
      <c r="AJ400" s="130"/>
      <c r="AK400" s="130"/>
      <c r="AL400" s="130"/>
      <c r="AM400" s="130"/>
      <c r="AN400" s="130"/>
      <c r="AP400" s="32"/>
    </row>
    <row r="401" spans="1:42" x14ac:dyDescent="0.25">
      <c r="A401" s="148"/>
      <c r="B401" s="153"/>
      <c r="C401" s="119"/>
      <c r="D401" s="119"/>
      <c r="E401" s="154"/>
      <c r="F401" s="45"/>
      <c r="P401" s="130"/>
      <c r="S401" s="130"/>
      <c r="T401" s="130"/>
      <c r="U401" s="130"/>
      <c r="V401" s="130"/>
      <c r="W401" s="130"/>
      <c r="Y401" s="130"/>
      <c r="Z401" s="130"/>
      <c r="AA401" s="130"/>
      <c r="AB401" s="130"/>
      <c r="AC401" s="130"/>
      <c r="AD401" s="130"/>
      <c r="AI401" s="166"/>
      <c r="AJ401" s="130"/>
      <c r="AK401" s="130"/>
      <c r="AL401" s="130"/>
      <c r="AM401" s="130"/>
      <c r="AN401" s="130"/>
      <c r="AP401" s="32"/>
    </row>
    <row r="402" spans="1:42" x14ac:dyDescent="0.25">
      <c r="A402" s="148"/>
      <c r="B402" s="153"/>
      <c r="C402" s="119"/>
      <c r="D402" s="119"/>
      <c r="E402" s="154"/>
      <c r="F402" s="45"/>
      <c r="P402" s="130"/>
      <c r="S402" s="130"/>
      <c r="T402" s="130"/>
      <c r="U402" s="130"/>
      <c r="V402" s="130"/>
      <c r="W402" s="130"/>
      <c r="Y402" s="130"/>
      <c r="Z402" s="130"/>
      <c r="AA402" s="130"/>
      <c r="AB402" s="130"/>
      <c r="AC402" s="130"/>
      <c r="AD402" s="130"/>
      <c r="AI402" s="166"/>
      <c r="AJ402" s="130"/>
      <c r="AK402" s="130"/>
      <c r="AL402" s="130"/>
      <c r="AM402" s="130"/>
      <c r="AN402" s="130"/>
      <c r="AP402" s="32"/>
    </row>
    <row r="403" spans="1:42" x14ac:dyDescent="0.25">
      <c r="A403" s="148"/>
      <c r="B403" s="153"/>
      <c r="C403" s="119"/>
      <c r="D403" s="119"/>
      <c r="E403" s="154"/>
      <c r="F403" s="45"/>
      <c r="P403" s="130"/>
      <c r="S403" s="130"/>
      <c r="T403" s="130"/>
      <c r="U403" s="130"/>
      <c r="V403" s="130"/>
      <c r="W403" s="130"/>
      <c r="Y403" s="130"/>
      <c r="Z403" s="130"/>
      <c r="AA403" s="130"/>
      <c r="AB403" s="130"/>
      <c r="AC403" s="130"/>
      <c r="AD403" s="130"/>
      <c r="AI403" s="166"/>
      <c r="AJ403" s="130"/>
      <c r="AK403" s="130"/>
      <c r="AL403" s="130"/>
      <c r="AM403" s="130"/>
      <c r="AN403" s="130"/>
      <c r="AP403" s="32"/>
    </row>
    <row r="404" spans="1:42" x14ac:dyDescent="0.25">
      <c r="A404" s="148"/>
      <c r="B404" s="153"/>
      <c r="C404" s="119"/>
      <c r="D404" s="119"/>
      <c r="E404" s="154"/>
      <c r="F404" s="45"/>
      <c r="P404" s="130"/>
      <c r="S404" s="130"/>
      <c r="T404" s="130"/>
      <c r="U404" s="130"/>
      <c r="V404" s="130"/>
      <c r="W404" s="130"/>
      <c r="Y404" s="130"/>
      <c r="Z404" s="130"/>
      <c r="AA404" s="130"/>
      <c r="AB404" s="130"/>
      <c r="AC404" s="130"/>
      <c r="AD404" s="130"/>
      <c r="AI404" s="166"/>
      <c r="AJ404" s="130"/>
      <c r="AK404" s="130"/>
      <c r="AL404" s="130"/>
      <c r="AM404" s="130"/>
      <c r="AN404" s="130"/>
      <c r="AP404" s="32"/>
    </row>
    <row r="405" spans="1:42" x14ac:dyDescent="0.25">
      <c r="A405" s="148"/>
      <c r="B405" s="153"/>
      <c r="C405" s="119"/>
      <c r="D405" s="119"/>
      <c r="E405" s="154"/>
      <c r="F405" s="45"/>
      <c r="P405" s="130"/>
      <c r="S405" s="130"/>
      <c r="T405" s="130"/>
      <c r="U405" s="130"/>
      <c r="V405" s="130"/>
      <c r="W405" s="130"/>
      <c r="Y405" s="130"/>
      <c r="Z405" s="130"/>
      <c r="AA405" s="130"/>
      <c r="AB405" s="130"/>
      <c r="AC405" s="130"/>
      <c r="AD405" s="130"/>
      <c r="AI405" s="166"/>
      <c r="AJ405" s="130"/>
      <c r="AK405" s="130"/>
      <c r="AL405" s="130"/>
      <c r="AM405" s="130"/>
      <c r="AN405" s="130"/>
      <c r="AP405" s="32"/>
    </row>
    <row r="406" spans="1:42" x14ac:dyDescent="0.25">
      <c r="A406" s="148"/>
      <c r="B406" s="153"/>
      <c r="C406" s="119"/>
      <c r="D406" s="119"/>
      <c r="E406" s="154"/>
      <c r="F406" s="45"/>
      <c r="P406" s="130"/>
      <c r="S406" s="130"/>
      <c r="T406" s="130"/>
      <c r="U406" s="130"/>
      <c r="V406" s="130"/>
      <c r="W406" s="130"/>
      <c r="Y406" s="130"/>
      <c r="Z406" s="130"/>
      <c r="AA406" s="130"/>
      <c r="AB406" s="130"/>
      <c r="AC406" s="130"/>
      <c r="AD406" s="130"/>
      <c r="AI406" s="166"/>
      <c r="AJ406" s="130"/>
      <c r="AK406" s="130"/>
      <c r="AL406" s="130"/>
      <c r="AM406" s="130"/>
      <c r="AN406" s="130"/>
      <c r="AP406" s="32"/>
    </row>
    <row r="407" spans="1:42" x14ac:dyDescent="0.25">
      <c r="A407" s="148"/>
      <c r="B407" s="153"/>
      <c r="C407" s="119"/>
      <c r="D407" s="119"/>
      <c r="E407" s="154"/>
      <c r="F407" s="45"/>
      <c r="P407" s="130"/>
      <c r="S407" s="130"/>
      <c r="T407" s="130"/>
      <c r="U407" s="130"/>
      <c r="V407" s="130"/>
      <c r="W407" s="130"/>
      <c r="Y407" s="130"/>
      <c r="Z407" s="130"/>
      <c r="AA407" s="130"/>
      <c r="AB407" s="130"/>
      <c r="AC407" s="130"/>
      <c r="AD407" s="130"/>
      <c r="AI407" s="166"/>
      <c r="AJ407" s="130"/>
      <c r="AK407" s="130"/>
      <c r="AL407" s="130"/>
      <c r="AM407" s="130"/>
      <c r="AN407" s="130"/>
      <c r="AP407" s="32"/>
    </row>
    <row r="408" spans="1:42" x14ac:dyDescent="0.25">
      <c r="A408" s="148"/>
      <c r="B408" s="153"/>
      <c r="C408" s="119"/>
      <c r="D408" s="119"/>
      <c r="E408" s="154"/>
      <c r="F408" s="45"/>
      <c r="P408" s="130"/>
      <c r="S408" s="130"/>
      <c r="T408" s="130"/>
      <c r="U408" s="130"/>
      <c r="V408" s="130"/>
      <c r="W408" s="130"/>
      <c r="Y408" s="130"/>
      <c r="Z408" s="130"/>
      <c r="AA408" s="130"/>
      <c r="AB408" s="130"/>
      <c r="AC408" s="130"/>
      <c r="AD408" s="130"/>
      <c r="AI408" s="166"/>
      <c r="AJ408" s="130"/>
      <c r="AK408" s="130"/>
      <c r="AL408" s="130"/>
      <c r="AM408" s="130"/>
      <c r="AN408" s="130"/>
      <c r="AP408" s="32"/>
    </row>
    <row r="409" spans="1:42" x14ac:dyDescent="0.25">
      <c r="A409" s="148"/>
      <c r="B409" s="153"/>
      <c r="C409" s="119"/>
      <c r="D409" s="119"/>
      <c r="E409" s="154"/>
      <c r="F409" s="45"/>
      <c r="P409" s="130"/>
      <c r="S409" s="130"/>
      <c r="T409" s="130"/>
      <c r="U409" s="130"/>
      <c r="V409" s="130"/>
      <c r="W409" s="130"/>
      <c r="Y409" s="130"/>
      <c r="Z409" s="130"/>
      <c r="AA409" s="130"/>
      <c r="AB409" s="130"/>
      <c r="AC409" s="130"/>
      <c r="AD409" s="130"/>
      <c r="AI409" s="166"/>
      <c r="AJ409" s="130"/>
      <c r="AK409" s="130"/>
      <c r="AL409" s="130"/>
      <c r="AM409" s="130"/>
      <c r="AN409" s="130"/>
      <c r="AP409" s="32"/>
    </row>
    <row r="410" spans="1:42" x14ac:dyDescent="0.25">
      <c r="A410" s="148"/>
      <c r="B410" s="153"/>
      <c r="C410" s="119"/>
      <c r="D410" s="119"/>
      <c r="E410" s="154"/>
      <c r="F410" s="45"/>
      <c r="P410" s="130"/>
      <c r="S410" s="130"/>
      <c r="T410" s="130"/>
      <c r="U410" s="130"/>
      <c r="V410" s="130"/>
      <c r="W410" s="130"/>
      <c r="Y410" s="130"/>
      <c r="Z410" s="130"/>
      <c r="AA410" s="130"/>
      <c r="AB410" s="130"/>
      <c r="AC410" s="130"/>
      <c r="AD410" s="130"/>
      <c r="AI410" s="166"/>
      <c r="AJ410" s="130"/>
      <c r="AK410" s="130"/>
      <c r="AL410" s="130"/>
      <c r="AM410" s="130"/>
      <c r="AN410" s="130"/>
      <c r="AP410" s="32"/>
    </row>
    <row r="411" spans="1:42" x14ac:dyDescent="0.25">
      <c r="A411" s="148"/>
      <c r="B411" s="153"/>
      <c r="C411" s="119"/>
      <c r="D411" s="119"/>
      <c r="E411" s="154"/>
      <c r="F411" s="45"/>
      <c r="P411" s="130"/>
      <c r="S411" s="130"/>
      <c r="T411" s="130"/>
      <c r="U411" s="130"/>
      <c r="V411" s="130"/>
      <c r="W411" s="130"/>
      <c r="Y411" s="130"/>
      <c r="Z411" s="130"/>
      <c r="AA411" s="130"/>
      <c r="AB411" s="130"/>
      <c r="AC411" s="130"/>
      <c r="AD411" s="130"/>
      <c r="AI411" s="166"/>
      <c r="AJ411" s="130"/>
      <c r="AK411" s="130"/>
      <c r="AL411" s="130"/>
      <c r="AM411" s="130"/>
      <c r="AN411" s="130"/>
      <c r="AP411" s="32"/>
    </row>
    <row r="412" spans="1:42" x14ac:dyDescent="0.25">
      <c r="A412" s="148"/>
      <c r="B412" s="153"/>
      <c r="C412" s="119"/>
      <c r="D412" s="119"/>
      <c r="E412" s="154"/>
      <c r="F412" s="45"/>
      <c r="P412" s="130"/>
      <c r="S412" s="130"/>
      <c r="T412" s="130"/>
      <c r="U412" s="130"/>
      <c r="V412" s="130"/>
      <c r="W412" s="130"/>
      <c r="Y412" s="130"/>
      <c r="Z412" s="130"/>
      <c r="AA412" s="130"/>
      <c r="AB412" s="130"/>
      <c r="AC412" s="130"/>
      <c r="AD412" s="130"/>
      <c r="AI412" s="166"/>
      <c r="AJ412" s="130"/>
      <c r="AK412" s="130"/>
      <c r="AL412" s="130"/>
      <c r="AM412" s="130"/>
      <c r="AN412" s="130"/>
      <c r="AP412" s="32"/>
    </row>
    <row r="413" spans="1:42" x14ac:dyDescent="0.25">
      <c r="A413" s="148"/>
      <c r="B413" s="153"/>
      <c r="C413" s="119"/>
      <c r="D413" s="119"/>
      <c r="E413" s="154"/>
      <c r="F413" s="45"/>
      <c r="P413" s="130"/>
      <c r="S413" s="130"/>
      <c r="T413" s="130"/>
      <c r="U413" s="130"/>
      <c r="V413" s="130"/>
      <c r="W413" s="130"/>
      <c r="Y413" s="130"/>
      <c r="Z413" s="130"/>
      <c r="AA413" s="130"/>
      <c r="AB413" s="130"/>
      <c r="AC413" s="130"/>
      <c r="AD413" s="130"/>
      <c r="AI413" s="166"/>
      <c r="AJ413" s="130"/>
      <c r="AK413" s="130"/>
      <c r="AL413" s="130"/>
      <c r="AM413" s="130"/>
      <c r="AN413" s="130"/>
      <c r="AP413" s="32"/>
    </row>
    <row r="414" spans="1:42" x14ac:dyDescent="0.25">
      <c r="A414" s="148"/>
      <c r="B414" s="153"/>
      <c r="C414" s="119"/>
      <c r="D414" s="119"/>
      <c r="E414" s="154"/>
      <c r="F414" s="45"/>
      <c r="P414" s="130"/>
      <c r="S414" s="130"/>
      <c r="T414" s="130"/>
      <c r="U414" s="130"/>
      <c r="V414" s="130"/>
      <c r="W414" s="130"/>
      <c r="Y414" s="130"/>
      <c r="Z414" s="130"/>
      <c r="AA414" s="130"/>
      <c r="AB414" s="130"/>
      <c r="AC414" s="130"/>
      <c r="AD414" s="130"/>
      <c r="AI414" s="166"/>
      <c r="AJ414" s="130"/>
      <c r="AK414" s="130"/>
      <c r="AL414" s="130"/>
      <c r="AM414" s="130"/>
      <c r="AN414" s="130"/>
      <c r="AP414" s="32"/>
    </row>
    <row r="415" spans="1:42" x14ac:dyDescent="0.25">
      <c r="A415" s="148"/>
      <c r="B415" s="153"/>
      <c r="C415" s="119"/>
      <c r="D415" s="119"/>
      <c r="E415" s="154"/>
      <c r="F415" s="45"/>
      <c r="P415" s="130"/>
      <c r="S415" s="130"/>
      <c r="T415" s="130"/>
      <c r="U415" s="130"/>
      <c r="V415" s="130"/>
      <c r="W415" s="130"/>
      <c r="Y415" s="130"/>
      <c r="Z415" s="130"/>
      <c r="AA415" s="130"/>
      <c r="AB415" s="130"/>
      <c r="AC415" s="130"/>
      <c r="AD415" s="130"/>
      <c r="AI415" s="166"/>
      <c r="AJ415" s="130"/>
      <c r="AK415" s="130"/>
      <c r="AL415" s="130"/>
      <c r="AM415" s="130"/>
      <c r="AN415" s="130"/>
      <c r="AP415" s="32"/>
    </row>
    <row r="416" spans="1:42" x14ac:dyDescent="0.25">
      <c r="A416" s="148"/>
      <c r="B416" s="153"/>
      <c r="C416" s="119"/>
      <c r="D416" s="119"/>
      <c r="E416" s="154"/>
      <c r="F416" s="45"/>
      <c r="P416" s="130"/>
      <c r="S416" s="130"/>
      <c r="T416" s="130"/>
      <c r="U416" s="130"/>
      <c r="V416" s="130"/>
      <c r="W416" s="130"/>
      <c r="Y416" s="130"/>
      <c r="Z416" s="130"/>
      <c r="AA416" s="130"/>
      <c r="AB416" s="130"/>
      <c r="AC416" s="130"/>
      <c r="AD416" s="130"/>
      <c r="AI416" s="166"/>
      <c r="AJ416" s="130"/>
      <c r="AK416" s="130"/>
      <c r="AL416" s="130"/>
      <c r="AM416" s="130"/>
      <c r="AN416" s="130"/>
      <c r="AP416" s="32"/>
    </row>
    <row r="417" spans="1:42" x14ac:dyDescent="0.25">
      <c r="A417" s="148"/>
      <c r="B417" s="153"/>
      <c r="C417" s="119"/>
      <c r="D417" s="119"/>
      <c r="E417" s="154"/>
      <c r="F417" s="45"/>
      <c r="P417" s="130"/>
      <c r="S417" s="130"/>
      <c r="T417" s="130"/>
      <c r="U417" s="130"/>
      <c r="V417" s="130"/>
      <c r="W417" s="130"/>
      <c r="Y417" s="130"/>
      <c r="Z417" s="130"/>
      <c r="AA417" s="130"/>
      <c r="AB417" s="130"/>
      <c r="AC417" s="130"/>
      <c r="AD417" s="130"/>
      <c r="AI417" s="166"/>
      <c r="AJ417" s="130"/>
      <c r="AK417" s="130"/>
      <c r="AL417" s="130"/>
      <c r="AM417" s="130"/>
      <c r="AN417" s="130"/>
      <c r="AP417" s="32"/>
    </row>
    <row r="418" spans="1:42" x14ac:dyDescent="0.25">
      <c r="A418" s="148"/>
      <c r="B418" s="153"/>
      <c r="C418" s="119"/>
      <c r="D418" s="119"/>
      <c r="E418" s="154"/>
      <c r="F418" s="45"/>
      <c r="P418" s="130"/>
      <c r="S418" s="130"/>
      <c r="T418" s="130"/>
      <c r="U418" s="130"/>
      <c r="V418" s="130"/>
      <c r="W418" s="130"/>
      <c r="Y418" s="130"/>
      <c r="Z418" s="130"/>
      <c r="AA418" s="130"/>
      <c r="AB418" s="130"/>
      <c r="AC418" s="130"/>
      <c r="AD418" s="130"/>
      <c r="AI418" s="166"/>
      <c r="AJ418" s="130"/>
      <c r="AK418" s="130"/>
      <c r="AL418" s="130"/>
      <c r="AM418" s="130"/>
      <c r="AN418" s="130"/>
      <c r="AP418" s="32"/>
    </row>
    <row r="419" spans="1:42" x14ac:dyDescent="0.25">
      <c r="A419" s="148"/>
      <c r="B419" s="153"/>
      <c r="C419" s="119"/>
      <c r="D419" s="119"/>
      <c r="E419" s="154"/>
      <c r="F419" s="45"/>
      <c r="P419" s="130"/>
      <c r="S419" s="130"/>
      <c r="T419" s="130"/>
      <c r="U419" s="130"/>
      <c r="V419" s="130"/>
      <c r="W419" s="130"/>
      <c r="Y419" s="130"/>
      <c r="Z419" s="130"/>
      <c r="AA419" s="130"/>
      <c r="AB419" s="130"/>
      <c r="AC419" s="130"/>
      <c r="AD419" s="130"/>
      <c r="AI419" s="166"/>
      <c r="AJ419" s="130"/>
      <c r="AK419" s="130"/>
      <c r="AL419" s="130"/>
      <c r="AM419" s="130"/>
      <c r="AN419" s="130"/>
      <c r="AP419" s="32"/>
    </row>
    <row r="420" spans="1:42" x14ac:dyDescent="0.25">
      <c r="A420" s="148"/>
      <c r="B420" s="153"/>
      <c r="C420" s="119"/>
      <c r="D420" s="119"/>
      <c r="E420" s="154"/>
      <c r="F420" s="45"/>
      <c r="P420" s="130"/>
      <c r="S420" s="130"/>
      <c r="T420" s="130"/>
      <c r="U420" s="130"/>
      <c r="V420" s="130"/>
      <c r="W420" s="130"/>
      <c r="Y420" s="130"/>
      <c r="Z420" s="130"/>
      <c r="AA420" s="130"/>
      <c r="AB420" s="130"/>
      <c r="AC420" s="130"/>
      <c r="AD420" s="130"/>
      <c r="AI420" s="166"/>
      <c r="AJ420" s="130"/>
      <c r="AK420" s="130"/>
      <c r="AL420" s="130"/>
      <c r="AM420" s="130"/>
      <c r="AN420" s="130"/>
      <c r="AP420" s="32"/>
    </row>
    <row r="421" spans="1:42" x14ac:dyDescent="0.25">
      <c r="A421" s="148"/>
      <c r="B421" s="153"/>
      <c r="C421" s="119"/>
      <c r="D421" s="119"/>
      <c r="E421" s="154"/>
      <c r="F421" s="45"/>
      <c r="P421" s="130"/>
      <c r="S421" s="130"/>
      <c r="T421" s="130"/>
      <c r="U421" s="130"/>
      <c r="V421" s="130"/>
      <c r="W421" s="130"/>
      <c r="Y421" s="130"/>
      <c r="Z421" s="130"/>
      <c r="AA421" s="130"/>
      <c r="AB421" s="130"/>
      <c r="AC421" s="130"/>
      <c r="AD421" s="130"/>
      <c r="AI421" s="166"/>
      <c r="AJ421" s="130"/>
      <c r="AK421" s="130"/>
      <c r="AL421" s="130"/>
      <c r="AM421" s="130"/>
      <c r="AN421" s="130"/>
      <c r="AP421" s="32"/>
    </row>
    <row r="422" spans="1:42" x14ac:dyDescent="0.25">
      <c r="A422" s="148"/>
      <c r="B422" s="153"/>
      <c r="C422" s="119"/>
      <c r="D422" s="119"/>
      <c r="E422" s="154"/>
      <c r="F422" s="45"/>
      <c r="P422" s="130"/>
      <c r="S422" s="130"/>
      <c r="T422" s="130"/>
      <c r="U422" s="130"/>
      <c r="V422" s="130"/>
      <c r="W422" s="130"/>
      <c r="Y422" s="130"/>
      <c r="Z422" s="130"/>
      <c r="AA422" s="130"/>
      <c r="AB422" s="130"/>
      <c r="AC422" s="130"/>
      <c r="AD422" s="130"/>
      <c r="AI422" s="166"/>
      <c r="AJ422" s="130"/>
      <c r="AK422" s="130"/>
      <c r="AL422" s="130"/>
      <c r="AM422" s="130"/>
      <c r="AN422" s="130"/>
      <c r="AP422" s="32"/>
    </row>
    <row r="423" spans="1:42" x14ac:dyDescent="0.25">
      <c r="A423" s="148"/>
      <c r="B423" s="153"/>
      <c r="C423" s="119"/>
      <c r="D423" s="119"/>
      <c r="E423" s="154"/>
      <c r="F423" s="45"/>
      <c r="P423" s="130"/>
      <c r="S423" s="130"/>
      <c r="T423" s="130"/>
      <c r="U423" s="130"/>
      <c r="V423" s="130"/>
      <c r="W423" s="130"/>
      <c r="Y423" s="130"/>
      <c r="Z423" s="130"/>
      <c r="AA423" s="130"/>
      <c r="AB423" s="130"/>
      <c r="AC423" s="130"/>
      <c r="AD423" s="130"/>
      <c r="AI423" s="166"/>
      <c r="AJ423" s="130"/>
      <c r="AK423" s="130"/>
      <c r="AL423" s="130"/>
      <c r="AM423" s="130"/>
      <c r="AN423" s="130"/>
      <c r="AP423" s="32"/>
    </row>
    <row r="424" spans="1:42" x14ac:dyDescent="0.25">
      <c r="A424" s="148"/>
      <c r="B424" s="153"/>
      <c r="C424" s="119"/>
      <c r="D424" s="119"/>
      <c r="E424" s="154"/>
      <c r="F424" s="45"/>
      <c r="P424" s="130"/>
      <c r="S424" s="130"/>
      <c r="T424" s="130"/>
      <c r="U424" s="130"/>
      <c r="V424" s="130"/>
      <c r="W424" s="130"/>
      <c r="Y424" s="130"/>
      <c r="Z424" s="130"/>
      <c r="AA424" s="130"/>
      <c r="AB424" s="130"/>
      <c r="AC424" s="130"/>
      <c r="AD424" s="130"/>
      <c r="AI424" s="166"/>
      <c r="AJ424" s="130"/>
      <c r="AK424" s="130"/>
      <c r="AL424" s="130"/>
      <c r="AM424" s="130"/>
      <c r="AN424" s="130"/>
      <c r="AP424" s="32"/>
    </row>
    <row r="425" spans="1:42" x14ac:dyDescent="0.25">
      <c r="A425" s="148"/>
      <c r="B425" s="153"/>
      <c r="C425" s="119"/>
      <c r="D425" s="119"/>
      <c r="E425" s="154"/>
      <c r="F425" s="45"/>
      <c r="P425" s="130"/>
      <c r="S425" s="130"/>
      <c r="T425" s="130"/>
      <c r="U425" s="130"/>
      <c r="V425" s="130"/>
      <c r="W425" s="130"/>
      <c r="Y425" s="130"/>
      <c r="Z425" s="130"/>
      <c r="AA425" s="130"/>
      <c r="AB425" s="130"/>
      <c r="AC425" s="130"/>
      <c r="AD425" s="130"/>
      <c r="AI425" s="166"/>
      <c r="AJ425" s="130"/>
      <c r="AK425" s="130"/>
      <c r="AL425" s="130"/>
      <c r="AM425" s="130"/>
      <c r="AN425" s="130"/>
      <c r="AP425" s="32"/>
    </row>
    <row r="426" spans="1:42" x14ac:dyDescent="0.25">
      <c r="A426" s="148"/>
      <c r="B426" s="153"/>
      <c r="C426" s="119"/>
      <c r="D426" s="119"/>
      <c r="E426" s="154"/>
      <c r="F426" s="45"/>
      <c r="P426" s="130"/>
      <c r="S426" s="130"/>
      <c r="T426" s="130"/>
      <c r="U426" s="130"/>
      <c r="V426" s="130"/>
      <c r="W426" s="130"/>
      <c r="Y426" s="130"/>
      <c r="Z426" s="130"/>
      <c r="AA426" s="130"/>
      <c r="AB426" s="130"/>
      <c r="AC426" s="130"/>
      <c r="AD426" s="130"/>
      <c r="AI426" s="166"/>
      <c r="AJ426" s="130"/>
      <c r="AK426" s="130"/>
      <c r="AL426" s="130"/>
      <c r="AM426" s="130"/>
      <c r="AN426" s="130"/>
      <c r="AP426" s="32"/>
    </row>
    <row r="427" spans="1:42" x14ac:dyDescent="0.25">
      <c r="A427" s="148"/>
      <c r="B427" s="153"/>
      <c r="C427" s="119"/>
      <c r="D427" s="119"/>
      <c r="E427" s="154"/>
      <c r="F427" s="45"/>
      <c r="P427" s="130"/>
      <c r="S427" s="130"/>
      <c r="T427" s="130"/>
      <c r="U427" s="130"/>
      <c r="V427" s="130"/>
      <c r="W427" s="130"/>
      <c r="Y427" s="130"/>
      <c r="Z427" s="130"/>
      <c r="AA427" s="130"/>
      <c r="AB427" s="130"/>
      <c r="AC427" s="130"/>
      <c r="AD427" s="130"/>
      <c r="AI427" s="166"/>
      <c r="AJ427" s="130"/>
      <c r="AK427" s="130"/>
      <c r="AL427" s="130"/>
      <c r="AM427" s="130"/>
      <c r="AN427" s="130"/>
      <c r="AP427" s="32"/>
    </row>
    <row r="428" spans="1:42" x14ac:dyDescent="0.25">
      <c r="A428" s="148"/>
      <c r="B428" s="153"/>
      <c r="C428" s="119"/>
      <c r="D428" s="119"/>
      <c r="E428" s="154"/>
      <c r="F428" s="45"/>
      <c r="P428" s="130"/>
      <c r="S428" s="130"/>
      <c r="T428" s="130"/>
      <c r="U428" s="130"/>
      <c r="V428" s="130"/>
      <c r="W428" s="130"/>
      <c r="Y428" s="130"/>
      <c r="Z428" s="130"/>
      <c r="AA428" s="130"/>
      <c r="AB428" s="130"/>
      <c r="AC428" s="130"/>
      <c r="AD428" s="130"/>
      <c r="AI428" s="166"/>
      <c r="AJ428" s="130"/>
      <c r="AK428" s="130"/>
      <c r="AL428" s="130"/>
      <c r="AM428" s="130"/>
      <c r="AN428" s="130"/>
      <c r="AP428" s="32"/>
    </row>
    <row r="429" spans="1:42" x14ac:dyDescent="0.25">
      <c r="A429" s="148"/>
      <c r="B429" s="153"/>
      <c r="C429" s="119"/>
      <c r="D429" s="119"/>
      <c r="E429" s="154"/>
      <c r="F429" s="45"/>
      <c r="P429" s="130"/>
      <c r="S429" s="130"/>
      <c r="T429" s="130"/>
      <c r="U429" s="130"/>
      <c r="V429" s="130"/>
      <c r="W429" s="130"/>
      <c r="Y429" s="130"/>
      <c r="Z429" s="130"/>
      <c r="AA429" s="130"/>
      <c r="AB429" s="130"/>
      <c r="AC429" s="130"/>
      <c r="AD429" s="130"/>
      <c r="AI429" s="166"/>
      <c r="AJ429" s="130"/>
      <c r="AK429" s="130"/>
      <c r="AL429" s="130"/>
      <c r="AM429" s="130"/>
      <c r="AN429" s="130"/>
      <c r="AP429" s="32"/>
    </row>
    <row r="430" spans="1:42" x14ac:dyDescent="0.25">
      <c r="A430" s="148"/>
      <c r="B430" s="153"/>
      <c r="C430" s="119"/>
      <c r="D430" s="119"/>
      <c r="E430" s="154"/>
      <c r="F430" s="45"/>
      <c r="P430" s="130"/>
      <c r="S430" s="130"/>
      <c r="T430" s="130"/>
      <c r="U430" s="130"/>
      <c r="V430" s="130"/>
      <c r="W430" s="130"/>
      <c r="Y430" s="130"/>
      <c r="Z430" s="130"/>
      <c r="AA430" s="130"/>
      <c r="AB430" s="130"/>
      <c r="AC430" s="130"/>
      <c r="AD430" s="130"/>
      <c r="AI430" s="166"/>
      <c r="AJ430" s="130"/>
      <c r="AK430" s="130"/>
      <c r="AL430" s="130"/>
      <c r="AM430" s="130"/>
      <c r="AN430" s="130"/>
      <c r="AP430" s="32"/>
    </row>
    <row r="431" spans="1:42" x14ac:dyDescent="0.25">
      <c r="A431" s="148"/>
      <c r="B431" s="153"/>
      <c r="C431" s="119"/>
      <c r="D431" s="119"/>
      <c r="E431" s="154"/>
      <c r="F431" s="45"/>
      <c r="P431" s="130"/>
      <c r="S431" s="130"/>
      <c r="T431" s="130"/>
      <c r="U431" s="130"/>
      <c r="V431" s="130"/>
      <c r="W431" s="130"/>
      <c r="Y431" s="130"/>
      <c r="Z431" s="130"/>
      <c r="AA431" s="130"/>
      <c r="AB431" s="130"/>
      <c r="AC431" s="130"/>
      <c r="AD431" s="130"/>
      <c r="AI431" s="166"/>
      <c r="AJ431" s="130"/>
      <c r="AK431" s="130"/>
      <c r="AL431" s="130"/>
      <c r="AM431" s="130"/>
      <c r="AN431" s="130"/>
      <c r="AP431" s="32"/>
    </row>
    <row r="432" spans="1:42" x14ac:dyDescent="0.25">
      <c r="A432" s="148"/>
      <c r="B432" s="153"/>
      <c r="C432" s="119"/>
      <c r="D432" s="119"/>
      <c r="E432" s="154"/>
      <c r="F432" s="45"/>
      <c r="P432" s="130"/>
      <c r="S432" s="130"/>
      <c r="T432" s="130"/>
      <c r="U432" s="130"/>
      <c r="V432" s="130"/>
      <c r="W432" s="130"/>
      <c r="Y432" s="130"/>
      <c r="Z432" s="130"/>
      <c r="AA432" s="130"/>
      <c r="AB432" s="130"/>
      <c r="AC432" s="130"/>
      <c r="AD432" s="130"/>
      <c r="AI432" s="166"/>
      <c r="AJ432" s="130"/>
      <c r="AK432" s="130"/>
      <c r="AL432" s="130"/>
      <c r="AM432" s="130"/>
      <c r="AN432" s="130"/>
      <c r="AP432" s="32"/>
    </row>
    <row r="433" spans="1:42" x14ac:dyDescent="0.25">
      <c r="A433" s="148"/>
      <c r="B433" s="153"/>
      <c r="C433" s="119"/>
      <c r="D433" s="119"/>
      <c r="E433" s="154"/>
      <c r="F433" s="45"/>
      <c r="P433" s="130"/>
      <c r="S433" s="130"/>
      <c r="T433" s="130"/>
      <c r="U433" s="130"/>
      <c r="V433" s="130"/>
      <c r="W433" s="130"/>
      <c r="Y433" s="130"/>
      <c r="Z433" s="130"/>
      <c r="AA433" s="130"/>
      <c r="AB433" s="130"/>
      <c r="AC433" s="130"/>
      <c r="AD433" s="130"/>
      <c r="AI433" s="166"/>
      <c r="AJ433" s="130"/>
      <c r="AK433" s="130"/>
      <c r="AL433" s="130"/>
      <c r="AM433" s="130"/>
      <c r="AN433" s="130"/>
      <c r="AP433" s="32"/>
    </row>
    <row r="434" spans="1:42" x14ac:dyDescent="0.25">
      <c r="A434" s="148"/>
      <c r="B434" s="153"/>
      <c r="C434" s="119"/>
      <c r="D434" s="119"/>
      <c r="E434" s="154"/>
      <c r="F434" s="45"/>
      <c r="P434" s="130"/>
      <c r="S434" s="130"/>
      <c r="T434" s="130"/>
      <c r="U434" s="130"/>
      <c r="V434" s="130"/>
      <c r="W434" s="130"/>
      <c r="Y434" s="130"/>
      <c r="Z434" s="130"/>
      <c r="AA434" s="130"/>
      <c r="AB434" s="130"/>
      <c r="AC434" s="130"/>
      <c r="AD434" s="130"/>
      <c r="AI434" s="166"/>
      <c r="AJ434" s="130"/>
      <c r="AK434" s="130"/>
      <c r="AL434" s="130"/>
      <c r="AM434" s="130"/>
      <c r="AN434" s="130"/>
      <c r="AP434" s="32"/>
    </row>
    <row r="435" spans="1:42" x14ac:dyDescent="0.25">
      <c r="A435" s="148"/>
      <c r="B435" s="153"/>
      <c r="C435" s="119"/>
      <c r="D435" s="119"/>
      <c r="E435" s="154"/>
      <c r="F435" s="45"/>
      <c r="P435" s="130"/>
      <c r="S435" s="130"/>
      <c r="T435" s="130"/>
      <c r="U435" s="130"/>
      <c r="V435" s="130"/>
      <c r="W435" s="130"/>
      <c r="Y435" s="130"/>
      <c r="Z435" s="130"/>
      <c r="AA435" s="130"/>
      <c r="AB435" s="130"/>
      <c r="AC435" s="130"/>
      <c r="AD435" s="130"/>
      <c r="AI435" s="166"/>
      <c r="AJ435" s="130"/>
      <c r="AK435" s="130"/>
      <c r="AL435" s="130"/>
      <c r="AM435" s="130"/>
      <c r="AN435" s="130"/>
      <c r="AP435" s="32"/>
    </row>
    <row r="436" spans="1:42" x14ac:dyDescent="0.25">
      <c r="A436" s="148"/>
      <c r="B436" s="153"/>
      <c r="C436" s="119"/>
      <c r="D436" s="119"/>
      <c r="E436" s="154"/>
      <c r="F436" s="45"/>
      <c r="P436" s="130"/>
      <c r="S436" s="130"/>
      <c r="T436" s="130"/>
      <c r="U436" s="130"/>
      <c r="V436" s="130"/>
      <c r="W436" s="130"/>
      <c r="Y436" s="130"/>
      <c r="Z436" s="130"/>
      <c r="AA436" s="130"/>
      <c r="AB436" s="130"/>
      <c r="AC436" s="130"/>
      <c r="AD436" s="130"/>
      <c r="AI436" s="166"/>
      <c r="AJ436" s="130"/>
      <c r="AK436" s="130"/>
      <c r="AL436" s="130"/>
      <c r="AM436" s="130"/>
      <c r="AN436" s="130"/>
      <c r="AP436" s="32"/>
    </row>
    <row r="437" spans="1:42" x14ac:dyDescent="0.25">
      <c r="A437" s="148"/>
      <c r="B437" s="153"/>
      <c r="C437" s="119"/>
      <c r="D437" s="119"/>
      <c r="E437" s="154"/>
      <c r="F437" s="45"/>
      <c r="P437" s="130"/>
      <c r="S437" s="130"/>
      <c r="T437" s="130"/>
      <c r="U437" s="130"/>
      <c r="V437" s="130"/>
      <c r="W437" s="130"/>
      <c r="Y437" s="130"/>
      <c r="Z437" s="130"/>
      <c r="AA437" s="130"/>
      <c r="AB437" s="130"/>
      <c r="AC437" s="130"/>
      <c r="AD437" s="130"/>
      <c r="AI437" s="166"/>
      <c r="AJ437" s="130"/>
      <c r="AK437" s="130"/>
      <c r="AL437" s="130"/>
      <c r="AM437" s="130"/>
      <c r="AN437" s="130"/>
      <c r="AP437" s="32"/>
    </row>
    <row r="438" spans="1:42" x14ac:dyDescent="0.25">
      <c r="A438" s="148"/>
      <c r="B438" s="153"/>
      <c r="C438" s="119"/>
      <c r="D438" s="119"/>
      <c r="E438" s="154"/>
      <c r="F438" s="45"/>
      <c r="P438" s="130"/>
      <c r="S438" s="130"/>
      <c r="T438" s="130"/>
      <c r="U438" s="130"/>
      <c r="V438" s="130"/>
      <c r="W438" s="130"/>
      <c r="Y438" s="130"/>
      <c r="Z438" s="130"/>
      <c r="AA438" s="130"/>
      <c r="AB438" s="130"/>
      <c r="AC438" s="130"/>
      <c r="AD438" s="130"/>
      <c r="AI438" s="166"/>
      <c r="AJ438" s="130"/>
      <c r="AK438" s="130"/>
      <c r="AL438" s="130"/>
      <c r="AM438" s="130"/>
      <c r="AN438" s="130"/>
      <c r="AP438" s="32"/>
    </row>
    <row r="439" spans="1:42" x14ac:dyDescent="0.25">
      <c r="A439" s="148"/>
      <c r="B439" s="153"/>
      <c r="C439" s="119"/>
      <c r="D439" s="119"/>
      <c r="E439" s="154"/>
      <c r="F439" s="45"/>
      <c r="P439" s="130"/>
      <c r="S439" s="130"/>
      <c r="T439" s="130"/>
      <c r="U439" s="130"/>
      <c r="V439" s="130"/>
      <c r="W439" s="130"/>
      <c r="Y439" s="130"/>
      <c r="Z439" s="130"/>
      <c r="AA439" s="130"/>
      <c r="AB439" s="130"/>
      <c r="AC439" s="130"/>
      <c r="AD439" s="130"/>
      <c r="AI439" s="166"/>
      <c r="AJ439" s="130"/>
      <c r="AK439" s="130"/>
      <c r="AL439" s="130"/>
      <c r="AM439" s="130"/>
      <c r="AN439" s="130"/>
      <c r="AP439" s="32"/>
    </row>
    <row r="440" spans="1:42" x14ac:dyDescent="0.25">
      <c r="A440" s="148"/>
      <c r="B440" s="153"/>
      <c r="C440" s="119"/>
      <c r="D440" s="119"/>
      <c r="E440" s="154"/>
      <c r="F440" s="45"/>
      <c r="P440" s="130"/>
      <c r="S440" s="130"/>
      <c r="T440" s="130"/>
      <c r="U440" s="130"/>
      <c r="V440" s="130"/>
      <c r="W440" s="130"/>
      <c r="Y440" s="130"/>
      <c r="Z440" s="130"/>
      <c r="AA440" s="130"/>
      <c r="AB440" s="130"/>
      <c r="AC440" s="130"/>
      <c r="AD440" s="130"/>
      <c r="AI440" s="166"/>
      <c r="AJ440" s="130"/>
      <c r="AK440" s="130"/>
      <c r="AL440" s="130"/>
      <c r="AM440" s="130"/>
      <c r="AN440" s="130"/>
      <c r="AP440" s="32"/>
    </row>
    <row r="441" spans="1:42" x14ac:dyDescent="0.25">
      <c r="A441" s="148"/>
      <c r="B441" s="153"/>
      <c r="C441" s="119"/>
      <c r="D441" s="119"/>
      <c r="E441" s="154"/>
      <c r="F441" s="45"/>
      <c r="P441" s="130"/>
      <c r="S441" s="130"/>
      <c r="T441" s="130"/>
      <c r="U441" s="130"/>
      <c r="V441" s="130"/>
      <c r="W441" s="130"/>
      <c r="Y441" s="130"/>
      <c r="Z441" s="130"/>
      <c r="AA441" s="130"/>
      <c r="AB441" s="130"/>
      <c r="AC441" s="130"/>
      <c r="AD441" s="130"/>
      <c r="AI441" s="166"/>
      <c r="AJ441" s="130"/>
      <c r="AK441" s="130"/>
      <c r="AL441" s="130"/>
      <c r="AM441" s="130"/>
      <c r="AN441" s="130"/>
      <c r="AP441" s="32"/>
    </row>
    <row r="442" spans="1:42" x14ac:dyDescent="0.25">
      <c r="A442" s="148"/>
      <c r="B442" s="153"/>
      <c r="C442" s="119"/>
      <c r="D442" s="119"/>
      <c r="E442" s="154"/>
      <c r="F442" s="45"/>
      <c r="P442" s="130"/>
      <c r="S442" s="130"/>
      <c r="T442" s="130"/>
      <c r="U442" s="130"/>
      <c r="V442" s="130"/>
      <c r="W442" s="130"/>
      <c r="Y442" s="130"/>
      <c r="Z442" s="130"/>
      <c r="AA442" s="130"/>
      <c r="AB442" s="130"/>
      <c r="AC442" s="130"/>
      <c r="AD442" s="130"/>
      <c r="AI442" s="166"/>
      <c r="AJ442" s="130"/>
      <c r="AK442" s="130"/>
      <c r="AL442" s="130"/>
      <c r="AM442" s="130"/>
      <c r="AN442" s="130"/>
      <c r="AP442" s="32"/>
    </row>
    <row r="443" spans="1:42" x14ac:dyDescent="0.25">
      <c r="A443" s="148"/>
      <c r="B443" s="153"/>
      <c r="C443" s="119"/>
      <c r="D443" s="119"/>
      <c r="E443" s="154"/>
      <c r="F443" s="45"/>
      <c r="P443" s="130"/>
      <c r="S443" s="130"/>
      <c r="T443" s="130"/>
      <c r="U443" s="130"/>
      <c r="V443" s="130"/>
      <c r="W443" s="130"/>
      <c r="Y443" s="130"/>
      <c r="Z443" s="130"/>
      <c r="AA443" s="130"/>
      <c r="AB443" s="130"/>
      <c r="AC443" s="130"/>
      <c r="AD443" s="130"/>
      <c r="AI443" s="166"/>
      <c r="AJ443" s="130"/>
      <c r="AK443" s="130"/>
      <c r="AL443" s="130"/>
      <c r="AM443" s="130"/>
      <c r="AN443" s="130"/>
      <c r="AP443" s="32"/>
    </row>
    <row r="444" spans="1:42" x14ac:dyDescent="0.25">
      <c r="A444" s="148"/>
      <c r="B444" s="153"/>
      <c r="C444" s="119"/>
      <c r="D444" s="119"/>
      <c r="E444" s="154"/>
      <c r="F444" s="45"/>
      <c r="P444" s="130"/>
      <c r="S444" s="130"/>
      <c r="T444" s="130"/>
      <c r="U444" s="130"/>
      <c r="V444" s="130"/>
      <c r="W444" s="130"/>
      <c r="Y444" s="130"/>
      <c r="Z444" s="130"/>
      <c r="AA444" s="130"/>
      <c r="AB444" s="130"/>
      <c r="AC444" s="130"/>
      <c r="AD444" s="130"/>
      <c r="AI444" s="166"/>
      <c r="AJ444" s="130"/>
      <c r="AK444" s="130"/>
      <c r="AL444" s="130"/>
      <c r="AM444" s="130"/>
      <c r="AN444" s="130"/>
      <c r="AP444" s="32"/>
    </row>
    <row r="445" spans="1:42" x14ac:dyDescent="0.25">
      <c r="A445" s="148"/>
      <c r="B445" s="153"/>
      <c r="C445" s="119"/>
      <c r="D445" s="119"/>
      <c r="E445" s="154"/>
      <c r="F445" s="45"/>
      <c r="P445" s="130"/>
      <c r="S445" s="130"/>
      <c r="T445" s="130"/>
      <c r="U445" s="130"/>
      <c r="V445" s="130"/>
      <c r="W445" s="130"/>
      <c r="Y445" s="130"/>
      <c r="Z445" s="130"/>
      <c r="AA445" s="130"/>
      <c r="AB445" s="130"/>
      <c r="AC445" s="130"/>
      <c r="AD445" s="130"/>
      <c r="AI445" s="166"/>
      <c r="AJ445" s="130"/>
      <c r="AK445" s="130"/>
      <c r="AL445" s="130"/>
      <c r="AM445" s="130"/>
      <c r="AN445" s="130"/>
      <c r="AP445" s="32"/>
    </row>
    <row r="446" spans="1:42" x14ac:dyDescent="0.25">
      <c r="A446" s="148"/>
      <c r="B446" s="153"/>
      <c r="C446" s="119"/>
      <c r="D446" s="119"/>
      <c r="E446" s="154"/>
      <c r="F446" s="45"/>
      <c r="P446" s="130"/>
      <c r="S446" s="130"/>
      <c r="T446" s="130"/>
      <c r="U446" s="130"/>
      <c r="V446" s="130"/>
      <c r="W446" s="130"/>
      <c r="Y446" s="130"/>
      <c r="Z446" s="130"/>
      <c r="AA446" s="130"/>
      <c r="AB446" s="130"/>
      <c r="AC446" s="130"/>
      <c r="AD446" s="130"/>
      <c r="AI446" s="166"/>
      <c r="AJ446" s="130"/>
      <c r="AK446" s="130"/>
      <c r="AL446" s="130"/>
      <c r="AM446" s="130"/>
      <c r="AN446" s="130"/>
      <c r="AP446" s="32"/>
    </row>
    <row r="447" spans="1:42" x14ac:dyDescent="0.25">
      <c r="A447" s="148"/>
      <c r="B447" s="153"/>
      <c r="C447" s="119"/>
      <c r="D447" s="119"/>
      <c r="E447" s="154"/>
      <c r="F447" s="45"/>
      <c r="P447" s="130"/>
      <c r="S447" s="130"/>
      <c r="T447" s="130"/>
      <c r="U447" s="130"/>
      <c r="V447" s="130"/>
      <c r="W447" s="130"/>
      <c r="Y447" s="130"/>
      <c r="Z447" s="130"/>
      <c r="AA447" s="130"/>
      <c r="AB447" s="130"/>
      <c r="AC447" s="130"/>
      <c r="AD447" s="130"/>
      <c r="AI447" s="166"/>
      <c r="AJ447" s="130"/>
      <c r="AK447" s="130"/>
      <c r="AL447" s="130"/>
      <c r="AM447" s="130"/>
      <c r="AN447" s="130"/>
      <c r="AP447" s="32"/>
    </row>
    <row r="448" spans="1:42" x14ac:dyDescent="0.25">
      <c r="A448" s="148"/>
      <c r="B448" s="153"/>
      <c r="C448" s="119"/>
      <c r="D448" s="119"/>
      <c r="E448" s="154"/>
      <c r="F448" s="45"/>
      <c r="P448" s="130"/>
      <c r="S448" s="130"/>
      <c r="T448" s="130"/>
      <c r="U448" s="130"/>
      <c r="V448" s="130"/>
      <c r="W448" s="130"/>
      <c r="Y448" s="130"/>
      <c r="Z448" s="130"/>
      <c r="AA448" s="130"/>
      <c r="AB448" s="130"/>
      <c r="AC448" s="130"/>
      <c r="AD448" s="130"/>
      <c r="AI448" s="166"/>
      <c r="AJ448" s="130"/>
      <c r="AK448" s="130"/>
      <c r="AL448" s="130"/>
      <c r="AM448" s="130"/>
      <c r="AN448" s="130"/>
      <c r="AP448" s="32"/>
    </row>
    <row r="449" spans="1:42" x14ac:dyDescent="0.25">
      <c r="A449" s="148"/>
      <c r="B449" s="153"/>
      <c r="C449" s="119"/>
      <c r="D449" s="119"/>
      <c r="E449" s="154"/>
      <c r="F449" s="45"/>
      <c r="P449" s="130"/>
      <c r="S449" s="130"/>
      <c r="T449" s="130"/>
      <c r="U449" s="130"/>
      <c r="V449" s="130"/>
      <c r="W449" s="130"/>
      <c r="Y449" s="130"/>
      <c r="Z449" s="130"/>
      <c r="AA449" s="130"/>
      <c r="AB449" s="130"/>
      <c r="AC449" s="130"/>
      <c r="AD449" s="130"/>
      <c r="AI449" s="166"/>
      <c r="AJ449" s="130"/>
      <c r="AK449" s="130"/>
      <c r="AL449" s="130"/>
      <c r="AM449" s="130"/>
      <c r="AN449" s="130"/>
      <c r="AP449" s="32"/>
    </row>
    <row r="450" spans="1:42" x14ac:dyDescent="0.25">
      <c r="A450" s="148"/>
      <c r="B450" s="153"/>
      <c r="C450" s="119"/>
      <c r="D450" s="119"/>
      <c r="E450" s="154"/>
      <c r="F450" s="45"/>
      <c r="P450" s="130"/>
      <c r="S450" s="130"/>
      <c r="T450" s="130"/>
      <c r="U450" s="130"/>
      <c r="V450" s="130"/>
      <c r="W450" s="130"/>
      <c r="Y450" s="130"/>
      <c r="Z450" s="130"/>
      <c r="AA450" s="130"/>
      <c r="AB450" s="130"/>
      <c r="AC450" s="130"/>
      <c r="AD450" s="130"/>
      <c r="AI450" s="166"/>
      <c r="AJ450" s="130"/>
      <c r="AK450" s="130"/>
      <c r="AL450" s="130"/>
      <c r="AM450" s="130"/>
      <c r="AN450" s="130"/>
      <c r="AP450" s="32"/>
    </row>
    <row r="451" spans="1:42" x14ac:dyDescent="0.25">
      <c r="A451" s="148"/>
      <c r="B451" s="153"/>
      <c r="C451" s="119"/>
      <c r="D451" s="119"/>
      <c r="E451" s="154"/>
      <c r="F451" s="45"/>
      <c r="P451" s="130"/>
      <c r="S451" s="130"/>
      <c r="T451" s="130"/>
      <c r="U451" s="130"/>
      <c r="V451" s="130"/>
      <c r="W451" s="130"/>
      <c r="Y451" s="130"/>
      <c r="Z451" s="130"/>
      <c r="AA451" s="130"/>
      <c r="AB451" s="130"/>
      <c r="AC451" s="130"/>
      <c r="AD451" s="130"/>
      <c r="AI451" s="166"/>
      <c r="AJ451" s="130"/>
      <c r="AK451" s="130"/>
      <c r="AL451" s="130"/>
      <c r="AM451" s="130"/>
      <c r="AN451" s="130"/>
      <c r="AP451" s="32"/>
    </row>
    <row r="452" spans="1:42" x14ac:dyDescent="0.25">
      <c r="A452" s="148"/>
      <c r="B452" s="153"/>
      <c r="C452" s="119"/>
      <c r="D452" s="119"/>
      <c r="E452" s="154"/>
      <c r="F452" s="45"/>
      <c r="P452" s="130"/>
      <c r="S452" s="130"/>
      <c r="T452" s="130"/>
      <c r="U452" s="130"/>
      <c r="V452" s="130"/>
      <c r="W452" s="130"/>
      <c r="Y452" s="130"/>
      <c r="Z452" s="130"/>
      <c r="AA452" s="130"/>
      <c r="AB452" s="130"/>
      <c r="AC452" s="130"/>
      <c r="AD452" s="130"/>
      <c r="AI452" s="166"/>
      <c r="AJ452" s="130"/>
      <c r="AK452" s="130"/>
      <c r="AL452" s="130"/>
      <c r="AM452" s="130"/>
      <c r="AN452" s="130"/>
      <c r="AP452" s="32"/>
    </row>
    <row r="453" spans="1:42" x14ac:dyDescent="0.25">
      <c r="A453" s="148"/>
      <c r="B453" s="153"/>
      <c r="C453" s="119"/>
      <c r="D453" s="119"/>
      <c r="E453" s="154"/>
      <c r="F453" s="45"/>
      <c r="P453" s="130"/>
      <c r="S453" s="130"/>
      <c r="T453" s="130"/>
      <c r="U453" s="130"/>
      <c r="V453" s="130"/>
      <c r="W453" s="130"/>
      <c r="Y453" s="130"/>
      <c r="Z453" s="130"/>
      <c r="AA453" s="130"/>
      <c r="AB453" s="130"/>
      <c r="AC453" s="130"/>
      <c r="AD453" s="130"/>
      <c r="AI453" s="166"/>
      <c r="AJ453" s="130"/>
      <c r="AK453" s="130"/>
      <c r="AL453" s="130"/>
      <c r="AM453" s="130"/>
      <c r="AN453" s="130"/>
      <c r="AP453" s="32"/>
    </row>
    <row r="454" spans="1:42" x14ac:dyDescent="0.25">
      <c r="A454" s="148"/>
      <c r="B454" s="153"/>
      <c r="C454" s="119"/>
      <c r="D454" s="119"/>
      <c r="E454" s="154"/>
      <c r="F454" s="45"/>
      <c r="P454" s="130"/>
      <c r="S454" s="130"/>
      <c r="T454" s="130"/>
      <c r="U454" s="130"/>
      <c r="V454" s="130"/>
      <c r="W454" s="130"/>
      <c r="Y454" s="130"/>
      <c r="Z454" s="130"/>
      <c r="AA454" s="130"/>
      <c r="AB454" s="130"/>
      <c r="AC454" s="130"/>
      <c r="AD454" s="130"/>
      <c r="AI454" s="166"/>
      <c r="AJ454" s="130"/>
      <c r="AK454" s="130"/>
      <c r="AL454" s="130"/>
      <c r="AM454" s="130"/>
      <c r="AN454" s="130"/>
      <c r="AP454" s="32"/>
    </row>
    <row r="455" spans="1:42" x14ac:dyDescent="0.25">
      <c r="A455" s="148"/>
      <c r="B455" s="153"/>
      <c r="C455" s="119"/>
      <c r="D455" s="119"/>
      <c r="E455" s="154"/>
      <c r="F455" s="45"/>
      <c r="P455" s="130"/>
      <c r="S455" s="130"/>
      <c r="T455" s="130"/>
      <c r="U455" s="130"/>
      <c r="V455" s="130"/>
      <c r="W455" s="130"/>
      <c r="Y455" s="130"/>
      <c r="Z455" s="130"/>
      <c r="AA455" s="130"/>
      <c r="AB455" s="130"/>
      <c r="AC455" s="130"/>
      <c r="AD455" s="130"/>
      <c r="AI455" s="166"/>
      <c r="AJ455" s="130"/>
      <c r="AK455" s="130"/>
      <c r="AL455" s="130"/>
      <c r="AM455" s="130"/>
      <c r="AN455" s="130"/>
      <c r="AP455" s="32"/>
    </row>
    <row r="456" spans="1:42" x14ac:dyDescent="0.25">
      <c r="A456" s="148"/>
      <c r="B456" s="153"/>
      <c r="C456" s="119"/>
      <c r="D456" s="119"/>
      <c r="E456" s="154"/>
      <c r="F456" s="45"/>
      <c r="P456" s="130"/>
      <c r="S456" s="130"/>
      <c r="T456" s="130"/>
      <c r="U456" s="130"/>
      <c r="V456" s="130"/>
      <c r="W456" s="130"/>
      <c r="Y456" s="130"/>
      <c r="Z456" s="130"/>
      <c r="AA456" s="130"/>
      <c r="AB456" s="130"/>
      <c r="AC456" s="130"/>
      <c r="AD456" s="130"/>
      <c r="AI456" s="166"/>
      <c r="AJ456" s="130"/>
      <c r="AK456" s="130"/>
      <c r="AL456" s="130"/>
      <c r="AM456" s="130"/>
      <c r="AN456" s="130"/>
      <c r="AP456" s="32"/>
    </row>
    <row r="457" spans="1:42" x14ac:dyDescent="0.25">
      <c r="A457" s="148"/>
      <c r="B457" s="153"/>
      <c r="C457" s="119"/>
      <c r="D457" s="119"/>
      <c r="E457" s="154"/>
      <c r="F457" s="45"/>
      <c r="P457" s="130"/>
      <c r="S457" s="130"/>
      <c r="T457" s="130"/>
      <c r="U457" s="130"/>
      <c r="V457" s="130"/>
      <c r="W457" s="130"/>
      <c r="Y457" s="130"/>
      <c r="Z457" s="130"/>
      <c r="AA457" s="130"/>
      <c r="AB457" s="130"/>
      <c r="AC457" s="130"/>
      <c r="AD457" s="130"/>
      <c r="AI457" s="166"/>
      <c r="AJ457" s="130"/>
      <c r="AK457" s="130"/>
      <c r="AL457" s="130"/>
      <c r="AM457" s="130"/>
      <c r="AN457" s="130"/>
      <c r="AP457" s="32"/>
    </row>
    <row r="458" spans="1:42" x14ac:dyDescent="0.25">
      <c r="A458" s="148"/>
      <c r="B458" s="153"/>
      <c r="C458" s="119"/>
      <c r="D458" s="119"/>
      <c r="E458" s="154"/>
      <c r="F458" s="45"/>
      <c r="P458" s="130"/>
      <c r="S458" s="130"/>
      <c r="T458" s="130"/>
      <c r="U458" s="130"/>
      <c r="V458" s="130"/>
      <c r="W458" s="130"/>
      <c r="Y458" s="130"/>
      <c r="Z458" s="130"/>
      <c r="AA458" s="130"/>
      <c r="AB458" s="130"/>
      <c r="AC458" s="130"/>
      <c r="AD458" s="130"/>
      <c r="AI458" s="166"/>
      <c r="AJ458" s="130"/>
      <c r="AK458" s="130"/>
      <c r="AL458" s="130"/>
      <c r="AM458" s="130"/>
      <c r="AN458" s="130"/>
      <c r="AP458" s="32"/>
    </row>
    <row r="459" spans="1:42" x14ac:dyDescent="0.25">
      <c r="A459" s="148"/>
      <c r="B459" s="153"/>
      <c r="C459" s="119"/>
      <c r="D459" s="119"/>
      <c r="E459" s="154"/>
      <c r="F459" s="45"/>
      <c r="P459" s="130"/>
      <c r="S459" s="130"/>
      <c r="T459" s="130"/>
      <c r="U459" s="130"/>
      <c r="V459" s="130"/>
      <c r="W459" s="130"/>
      <c r="Y459" s="130"/>
      <c r="Z459" s="130"/>
      <c r="AA459" s="130"/>
      <c r="AB459" s="130"/>
      <c r="AC459" s="130"/>
      <c r="AD459" s="130"/>
      <c r="AI459" s="166"/>
      <c r="AJ459" s="130"/>
      <c r="AK459" s="130"/>
      <c r="AL459" s="130"/>
      <c r="AM459" s="130"/>
      <c r="AN459" s="130"/>
      <c r="AP459" s="32"/>
    </row>
    <row r="460" spans="1:42" x14ac:dyDescent="0.25">
      <c r="A460" s="148"/>
      <c r="B460" s="153"/>
      <c r="C460" s="119"/>
      <c r="D460" s="119"/>
      <c r="E460" s="154"/>
      <c r="F460" s="45"/>
      <c r="P460" s="130"/>
      <c r="S460" s="130"/>
      <c r="T460" s="130"/>
      <c r="U460" s="130"/>
      <c r="V460" s="130"/>
      <c r="W460" s="130"/>
      <c r="Y460" s="130"/>
      <c r="Z460" s="130"/>
      <c r="AA460" s="130"/>
      <c r="AB460" s="130"/>
      <c r="AC460" s="130"/>
      <c r="AD460" s="130"/>
      <c r="AI460" s="166"/>
      <c r="AJ460" s="130"/>
      <c r="AK460" s="130"/>
      <c r="AL460" s="130"/>
      <c r="AM460" s="130"/>
      <c r="AN460" s="130"/>
      <c r="AP460" s="32"/>
    </row>
    <row r="461" spans="1:42" x14ac:dyDescent="0.25">
      <c r="A461" s="148"/>
      <c r="B461" s="153"/>
      <c r="C461" s="119"/>
      <c r="D461" s="119"/>
      <c r="E461" s="154"/>
      <c r="F461" s="45"/>
      <c r="P461" s="130"/>
      <c r="S461" s="130"/>
      <c r="T461" s="130"/>
      <c r="U461" s="130"/>
      <c r="V461" s="130"/>
      <c r="W461" s="130"/>
      <c r="Y461" s="130"/>
      <c r="Z461" s="130"/>
      <c r="AA461" s="130"/>
      <c r="AB461" s="130"/>
      <c r="AC461" s="130"/>
      <c r="AD461" s="130"/>
      <c r="AI461" s="166"/>
      <c r="AJ461" s="130"/>
      <c r="AK461" s="130"/>
      <c r="AL461" s="130"/>
      <c r="AM461" s="130"/>
      <c r="AN461" s="130"/>
      <c r="AP461" s="32"/>
    </row>
    <row r="462" spans="1:42" x14ac:dyDescent="0.25">
      <c r="A462" s="148"/>
      <c r="B462" s="153"/>
      <c r="C462" s="119"/>
      <c r="D462" s="119"/>
      <c r="E462" s="154"/>
      <c r="F462" s="45"/>
      <c r="P462" s="130"/>
      <c r="S462" s="130"/>
      <c r="T462" s="130"/>
      <c r="U462" s="130"/>
      <c r="V462" s="130"/>
      <c r="W462" s="130"/>
      <c r="Y462" s="130"/>
      <c r="Z462" s="130"/>
      <c r="AA462" s="130"/>
      <c r="AB462" s="130"/>
      <c r="AC462" s="130"/>
      <c r="AD462" s="130"/>
      <c r="AI462" s="166"/>
      <c r="AJ462" s="130"/>
      <c r="AK462" s="130"/>
      <c r="AL462" s="130"/>
      <c r="AM462" s="130"/>
      <c r="AN462" s="130"/>
      <c r="AP462" s="32"/>
    </row>
    <row r="463" spans="1:42" x14ac:dyDescent="0.25">
      <c r="A463" s="148"/>
      <c r="B463" s="153"/>
      <c r="C463" s="119"/>
      <c r="D463" s="119"/>
      <c r="E463" s="154"/>
      <c r="F463" s="45"/>
      <c r="P463" s="130"/>
      <c r="S463" s="130"/>
      <c r="T463" s="130"/>
      <c r="U463" s="130"/>
      <c r="V463" s="130"/>
      <c r="W463" s="130"/>
      <c r="Y463" s="130"/>
      <c r="Z463" s="130"/>
      <c r="AA463" s="130"/>
      <c r="AB463" s="130"/>
      <c r="AC463" s="130"/>
      <c r="AD463" s="130"/>
      <c r="AI463" s="166"/>
      <c r="AJ463" s="130"/>
      <c r="AK463" s="130"/>
      <c r="AL463" s="130"/>
      <c r="AM463" s="130"/>
      <c r="AN463" s="130"/>
      <c r="AP463" s="32"/>
    </row>
    <row r="464" spans="1:42" x14ac:dyDescent="0.25">
      <c r="A464" s="148"/>
      <c r="B464" s="153"/>
      <c r="C464" s="119"/>
      <c r="D464" s="119"/>
      <c r="E464" s="154"/>
      <c r="F464" s="45"/>
      <c r="P464" s="130"/>
      <c r="S464" s="130"/>
      <c r="T464" s="130"/>
      <c r="U464" s="130"/>
      <c r="V464" s="130"/>
      <c r="W464" s="130"/>
      <c r="Y464" s="130"/>
      <c r="Z464" s="130"/>
      <c r="AA464" s="130"/>
      <c r="AB464" s="130"/>
      <c r="AC464" s="130"/>
      <c r="AD464" s="130"/>
      <c r="AI464" s="166"/>
      <c r="AJ464" s="130"/>
      <c r="AK464" s="130"/>
      <c r="AL464" s="130"/>
      <c r="AM464" s="130"/>
      <c r="AN464" s="130"/>
      <c r="AP464" s="32"/>
    </row>
    <row r="465" spans="1:42" x14ac:dyDescent="0.25">
      <c r="A465" s="148"/>
      <c r="B465" s="153"/>
      <c r="C465" s="119"/>
      <c r="D465" s="119"/>
      <c r="E465" s="154"/>
      <c r="F465" s="45"/>
      <c r="P465" s="130"/>
      <c r="S465" s="130"/>
      <c r="T465" s="130"/>
      <c r="U465" s="130"/>
      <c r="V465" s="130"/>
      <c r="W465" s="130"/>
      <c r="Y465" s="130"/>
      <c r="Z465" s="130"/>
      <c r="AA465" s="130"/>
      <c r="AB465" s="130"/>
      <c r="AC465" s="130"/>
      <c r="AD465" s="130"/>
      <c r="AI465" s="166"/>
      <c r="AJ465" s="130"/>
      <c r="AK465" s="130"/>
      <c r="AL465" s="130"/>
      <c r="AM465" s="130"/>
      <c r="AN465" s="130"/>
      <c r="AP465" s="32"/>
    </row>
    <row r="466" spans="1:42" x14ac:dyDescent="0.25">
      <c r="A466" s="148"/>
      <c r="B466" s="153"/>
      <c r="C466" s="119"/>
      <c r="D466" s="119"/>
      <c r="E466" s="154"/>
      <c r="F466" s="45"/>
      <c r="P466" s="130"/>
      <c r="S466" s="130"/>
      <c r="T466" s="130"/>
      <c r="U466" s="130"/>
      <c r="V466" s="130"/>
      <c r="W466" s="130"/>
      <c r="Y466" s="130"/>
      <c r="Z466" s="130"/>
      <c r="AA466" s="130"/>
      <c r="AB466" s="130"/>
      <c r="AC466" s="130"/>
      <c r="AD466" s="130"/>
      <c r="AI466" s="166"/>
      <c r="AJ466" s="130"/>
      <c r="AK466" s="130"/>
      <c r="AL466" s="130"/>
      <c r="AM466" s="130"/>
      <c r="AN466" s="130"/>
      <c r="AP466" s="32"/>
    </row>
    <row r="467" spans="1:42" x14ac:dyDescent="0.25">
      <c r="A467" s="148"/>
      <c r="B467" s="153"/>
      <c r="C467" s="119"/>
      <c r="D467" s="119"/>
      <c r="E467" s="154"/>
      <c r="F467" s="45"/>
      <c r="P467" s="130"/>
      <c r="S467" s="130"/>
      <c r="T467" s="130"/>
      <c r="U467" s="130"/>
      <c r="V467" s="130"/>
      <c r="W467" s="130"/>
      <c r="Y467" s="130"/>
      <c r="Z467" s="130"/>
      <c r="AA467" s="130"/>
      <c r="AB467" s="130"/>
      <c r="AC467" s="130"/>
      <c r="AD467" s="130"/>
      <c r="AI467" s="166"/>
      <c r="AJ467" s="130"/>
      <c r="AK467" s="130"/>
      <c r="AL467" s="130"/>
      <c r="AM467" s="130"/>
      <c r="AN467" s="130"/>
      <c r="AP467" s="32"/>
    </row>
    <row r="468" spans="1:42" x14ac:dyDescent="0.25">
      <c r="A468" s="148"/>
      <c r="B468" s="153"/>
      <c r="C468" s="119"/>
      <c r="D468" s="119"/>
      <c r="E468" s="154"/>
      <c r="F468" s="45"/>
      <c r="P468" s="130"/>
      <c r="S468" s="130"/>
      <c r="T468" s="130"/>
      <c r="U468" s="130"/>
      <c r="V468" s="130"/>
      <c r="W468" s="130"/>
      <c r="Y468" s="130"/>
      <c r="Z468" s="130"/>
      <c r="AA468" s="130"/>
      <c r="AB468" s="130"/>
      <c r="AC468" s="130"/>
      <c r="AD468" s="130"/>
      <c r="AI468" s="166"/>
      <c r="AJ468" s="130"/>
      <c r="AK468" s="130"/>
      <c r="AL468" s="130"/>
      <c r="AM468" s="130"/>
      <c r="AN468" s="130"/>
      <c r="AP468" s="32"/>
    </row>
    <row r="469" spans="1:42" x14ac:dyDescent="0.25">
      <c r="A469" s="148"/>
      <c r="B469" s="153"/>
      <c r="C469" s="119"/>
      <c r="D469" s="119"/>
      <c r="E469" s="154"/>
      <c r="F469" s="45"/>
      <c r="P469" s="130"/>
      <c r="S469" s="130"/>
      <c r="T469" s="130"/>
      <c r="U469" s="130"/>
      <c r="V469" s="130"/>
      <c r="W469" s="130"/>
      <c r="Y469" s="130"/>
      <c r="Z469" s="130"/>
      <c r="AA469" s="130"/>
      <c r="AB469" s="130"/>
      <c r="AC469" s="130"/>
      <c r="AD469" s="130"/>
      <c r="AI469" s="166"/>
      <c r="AJ469" s="130"/>
      <c r="AK469" s="130"/>
      <c r="AL469" s="130"/>
      <c r="AM469" s="130"/>
      <c r="AN469" s="130"/>
      <c r="AP469" s="32"/>
    </row>
    <row r="470" spans="1:42" x14ac:dyDescent="0.25">
      <c r="A470" s="148"/>
      <c r="B470" s="153"/>
      <c r="C470" s="119"/>
      <c r="D470" s="119"/>
      <c r="E470" s="154"/>
      <c r="F470" s="45"/>
      <c r="P470" s="130"/>
      <c r="S470" s="130"/>
      <c r="T470" s="130"/>
      <c r="U470" s="130"/>
      <c r="V470" s="130"/>
      <c r="W470" s="130"/>
      <c r="Y470" s="130"/>
      <c r="Z470" s="130"/>
      <c r="AA470" s="130"/>
      <c r="AB470" s="130"/>
      <c r="AC470" s="130"/>
      <c r="AD470" s="130"/>
      <c r="AI470" s="166"/>
      <c r="AJ470" s="130"/>
      <c r="AK470" s="130"/>
      <c r="AL470" s="130"/>
      <c r="AM470" s="130"/>
      <c r="AN470" s="130"/>
      <c r="AP470" s="32"/>
    </row>
    <row r="471" spans="1:42" x14ac:dyDescent="0.25">
      <c r="A471" s="148"/>
      <c r="B471" s="153"/>
      <c r="C471" s="119"/>
      <c r="D471" s="119"/>
      <c r="E471" s="154"/>
      <c r="F471" s="45"/>
      <c r="P471" s="130"/>
      <c r="S471" s="130"/>
      <c r="T471" s="130"/>
      <c r="U471" s="130"/>
      <c r="V471" s="130"/>
      <c r="W471" s="130"/>
      <c r="Y471" s="130"/>
      <c r="Z471" s="130"/>
      <c r="AA471" s="130"/>
      <c r="AB471" s="130"/>
      <c r="AC471" s="130"/>
      <c r="AD471" s="130"/>
      <c r="AI471" s="166"/>
      <c r="AJ471" s="130"/>
      <c r="AK471" s="130"/>
      <c r="AL471" s="130"/>
      <c r="AM471" s="130"/>
      <c r="AN471" s="130"/>
      <c r="AP471" s="32"/>
    </row>
    <row r="472" spans="1:42" x14ac:dyDescent="0.25">
      <c r="A472" s="148"/>
      <c r="B472" s="153"/>
      <c r="C472" s="119"/>
      <c r="D472" s="119"/>
      <c r="E472" s="154"/>
      <c r="F472" s="45"/>
      <c r="P472" s="130"/>
      <c r="S472" s="130"/>
      <c r="T472" s="130"/>
      <c r="U472" s="130"/>
      <c r="V472" s="130"/>
      <c r="W472" s="130"/>
      <c r="Y472" s="130"/>
      <c r="Z472" s="130"/>
      <c r="AA472" s="130"/>
      <c r="AB472" s="130"/>
      <c r="AC472" s="130"/>
      <c r="AD472" s="130"/>
      <c r="AI472" s="166"/>
      <c r="AJ472" s="130"/>
      <c r="AK472" s="130"/>
      <c r="AL472" s="130"/>
      <c r="AM472" s="130"/>
      <c r="AN472" s="130"/>
      <c r="AP472" s="32"/>
    </row>
    <row r="473" spans="1:42" x14ac:dyDescent="0.25">
      <c r="A473" s="148"/>
      <c r="B473" s="153"/>
      <c r="C473" s="119"/>
      <c r="D473" s="119"/>
      <c r="E473" s="154"/>
      <c r="F473" s="45"/>
      <c r="P473" s="130"/>
      <c r="S473" s="130"/>
      <c r="T473" s="130"/>
      <c r="U473" s="130"/>
      <c r="V473" s="130"/>
      <c r="W473" s="130"/>
      <c r="Y473" s="130"/>
      <c r="Z473" s="130"/>
      <c r="AA473" s="130"/>
      <c r="AB473" s="130"/>
      <c r="AC473" s="130"/>
      <c r="AD473" s="130"/>
      <c r="AI473" s="166"/>
      <c r="AJ473" s="130"/>
      <c r="AK473" s="130"/>
      <c r="AL473" s="130"/>
      <c r="AM473" s="130"/>
      <c r="AN473" s="130"/>
      <c r="AP473" s="32"/>
    </row>
    <row r="474" spans="1:42" x14ac:dyDescent="0.25">
      <c r="A474" s="148"/>
      <c r="B474" s="153"/>
      <c r="C474" s="119"/>
      <c r="D474" s="119"/>
      <c r="E474" s="154"/>
      <c r="F474" s="45"/>
      <c r="P474" s="130"/>
      <c r="S474" s="130"/>
      <c r="T474" s="130"/>
      <c r="U474" s="130"/>
      <c r="V474" s="130"/>
      <c r="W474" s="130"/>
      <c r="Y474" s="130"/>
      <c r="Z474" s="130"/>
      <c r="AA474" s="130"/>
      <c r="AB474" s="130"/>
      <c r="AC474" s="130"/>
      <c r="AD474" s="130"/>
      <c r="AI474" s="166"/>
      <c r="AJ474" s="130"/>
      <c r="AK474" s="130"/>
      <c r="AL474" s="130"/>
      <c r="AM474" s="130"/>
      <c r="AN474" s="130"/>
      <c r="AP474" s="32"/>
    </row>
    <row r="475" spans="1:42" x14ac:dyDescent="0.25">
      <c r="A475" s="148"/>
      <c r="B475" s="153"/>
      <c r="C475" s="119"/>
      <c r="D475" s="119"/>
      <c r="E475" s="154"/>
      <c r="F475" s="45"/>
      <c r="P475" s="130"/>
      <c r="S475" s="130"/>
      <c r="T475" s="130"/>
      <c r="U475" s="130"/>
      <c r="V475" s="130"/>
      <c r="W475" s="130"/>
      <c r="Y475" s="130"/>
      <c r="Z475" s="130"/>
      <c r="AA475" s="130"/>
      <c r="AB475" s="130"/>
      <c r="AC475" s="130"/>
      <c r="AD475" s="130"/>
      <c r="AI475" s="166"/>
      <c r="AJ475" s="130"/>
      <c r="AK475" s="130"/>
      <c r="AL475" s="130"/>
      <c r="AM475" s="130"/>
      <c r="AN475" s="130"/>
      <c r="AP475" s="32"/>
    </row>
    <row r="476" spans="1:42" x14ac:dyDescent="0.25">
      <c r="A476" s="148"/>
      <c r="B476" s="153"/>
      <c r="C476" s="119"/>
      <c r="D476" s="119"/>
      <c r="E476" s="154"/>
      <c r="F476" s="45"/>
      <c r="P476" s="130"/>
      <c r="S476" s="130"/>
      <c r="T476" s="130"/>
      <c r="U476" s="130"/>
      <c r="V476" s="130"/>
      <c r="W476" s="130"/>
      <c r="Y476" s="130"/>
      <c r="Z476" s="130"/>
      <c r="AA476" s="130"/>
      <c r="AB476" s="130"/>
      <c r="AC476" s="130"/>
      <c r="AD476" s="130"/>
      <c r="AI476" s="166"/>
      <c r="AJ476" s="130"/>
      <c r="AK476" s="130"/>
      <c r="AL476" s="130"/>
      <c r="AM476" s="130"/>
      <c r="AN476" s="130"/>
      <c r="AP476" s="32"/>
    </row>
    <row r="477" spans="1:42" x14ac:dyDescent="0.25">
      <c r="A477" s="148"/>
      <c r="B477" s="153"/>
      <c r="C477" s="119"/>
      <c r="D477" s="119"/>
      <c r="E477" s="154"/>
      <c r="F477" s="45"/>
      <c r="P477" s="130"/>
      <c r="S477" s="130"/>
      <c r="T477" s="130"/>
      <c r="U477" s="130"/>
      <c r="V477" s="130"/>
      <c r="W477" s="130"/>
      <c r="Y477" s="130"/>
      <c r="Z477" s="130"/>
      <c r="AA477" s="130"/>
      <c r="AB477" s="130"/>
      <c r="AC477" s="130"/>
      <c r="AD477" s="130"/>
      <c r="AI477" s="166"/>
      <c r="AJ477" s="130"/>
      <c r="AK477" s="130"/>
      <c r="AL477" s="130"/>
      <c r="AM477" s="130"/>
      <c r="AN477" s="130"/>
      <c r="AP477" s="32"/>
    </row>
    <row r="478" spans="1:42" x14ac:dyDescent="0.25">
      <c r="A478" s="148"/>
      <c r="B478" s="153"/>
      <c r="C478" s="119"/>
      <c r="D478" s="119"/>
      <c r="E478" s="154"/>
      <c r="F478" s="45"/>
      <c r="P478" s="130"/>
      <c r="S478" s="130"/>
      <c r="T478" s="130"/>
      <c r="U478" s="130"/>
      <c r="V478" s="130"/>
      <c r="W478" s="130"/>
      <c r="Y478" s="130"/>
      <c r="Z478" s="130"/>
      <c r="AA478" s="130"/>
      <c r="AB478" s="130"/>
      <c r="AC478" s="130"/>
      <c r="AD478" s="130"/>
      <c r="AI478" s="166"/>
      <c r="AJ478" s="130"/>
      <c r="AK478" s="130"/>
      <c r="AL478" s="130"/>
      <c r="AM478" s="130"/>
      <c r="AN478" s="130"/>
      <c r="AP478" s="32"/>
    </row>
    <row r="479" spans="1:42" x14ac:dyDescent="0.25">
      <c r="A479" s="148"/>
      <c r="B479" s="153"/>
      <c r="C479" s="119"/>
      <c r="D479" s="119"/>
      <c r="E479" s="154"/>
      <c r="F479" s="45"/>
      <c r="P479" s="130"/>
      <c r="S479" s="130"/>
      <c r="T479" s="130"/>
      <c r="U479" s="130"/>
      <c r="V479" s="130"/>
      <c r="W479" s="130"/>
      <c r="Y479" s="130"/>
      <c r="Z479" s="130"/>
      <c r="AA479" s="130"/>
      <c r="AB479" s="130"/>
      <c r="AC479" s="130"/>
      <c r="AD479" s="130"/>
      <c r="AI479" s="166"/>
      <c r="AJ479" s="130"/>
      <c r="AK479" s="130"/>
      <c r="AL479" s="130"/>
      <c r="AM479" s="130"/>
      <c r="AN479" s="130"/>
      <c r="AP479" s="32"/>
    </row>
    <row r="480" spans="1:42" x14ac:dyDescent="0.25">
      <c r="A480" s="148"/>
      <c r="B480" s="153"/>
      <c r="C480" s="119"/>
      <c r="D480" s="119"/>
      <c r="E480" s="154"/>
      <c r="F480" s="45"/>
      <c r="P480" s="130"/>
      <c r="S480" s="130"/>
      <c r="T480" s="130"/>
      <c r="U480" s="130"/>
      <c r="V480" s="130"/>
      <c r="W480" s="130"/>
      <c r="Y480" s="130"/>
      <c r="Z480" s="130"/>
      <c r="AA480" s="130"/>
      <c r="AB480" s="130"/>
      <c r="AC480" s="130"/>
      <c r="AD480" s="130"/>
      <c r="AI480" s="166"/>
      <c r="AJ480" s="130"/>
      <c r="AK480" s="130"/>
      <c r="AL480" s="130"/>
      <c r="AM480" s="130"/>
      <c r="AN480" s="130"/>
      <c r="AP480" s="32"/>
    </row>
    <row r="481" spans="1:42" x14ac:dyDescent="0.25">
      <c r="A481" s="148"/>
      <c r="B481" s="153"/>
      <c r="C481" s="119"/>
      <c r="D481" s="119"/>
      <c r="E481" s="154"/>
      <c r="F481" s="45"/>
      <c r="P481" s="130"/>
      <c r="S481" s="130"/>
      <c r="T481" s="130"/>
      <c r="U481" s="130"/>
      <c r="V481" s="130"/>
      <c r="W481" s="130"/>
      <c r="Y481" s="130"/>
      <c r="Z481" s="130"/>
      <c r="AA481" s="130"/>
      <c r="AB481" s="130"/>
      <c r="AC481" s="130"/>
      <c r="AD481" s="130"/>
      <c r="AI481" s="166"/>
      <c r="AJ481" s="130"/>
      <c r="AK481" s="130"/>
      <c r="AL481" s="130"/>
      <c r="AM481" s="130"/>
      <c r="AN481" s="130"/>
      <c r="AP481" s="32"/>
    </row>
    <row r="482" spans="1:42" x14ac:dyDescent="0.25">
      <c r="A482" s="148"/>
      <c r="B482" s="153"/>
      <c r="C482" s="119"/>
      <c r="D482" s="119"/>
      <c r="E482" s="154"/>
      <c r="F482" s="45"/>
      <c r="P482" s="130"/>
      <c r="S482" s="130"/>
      <c r="T482" s="130"/>
      <c r="U482" s="130"/>
      <c r="V482" s="130"/>
      <c r="W482" s="130"/>
      <c r="Y482" s="130"/>
      <c r="Z482" s="130"/>
      <c r="AA482" s="130"/>
      <c r="AB482" s="130"/>
      <c r="AC482" s="130"/>
      <c r="AD482" s="130"/>
      <c r="AI482" s="166"/>
      <c r="AJ482" s="130"/>
      <c r="AK482" s="130"/>
      <c r="AL482" s="130"/>
      <c r="AM482" s="130"/>
      <c r="AN482" s="130"/>
      <c r="AP482" s="32"/>
    </row>
    <row r="483" spans="1:42" x14ac:dyDescent="0.25">
      <c r="A483" s="148"/>
      <c r="B483" s="153"/>
      <c r="C483" s="119"/>
      <c r="D483" s="119"/>
      <c r="E483" s="154"/>
      <c r="F483" s="45"/>
      <c r="P483" s="130"/>
      <c r="S483" s="130"/>
      <c r="T483" s="130"/>
      <c r="U483" s="130"/>
      <c r="V483" s="130"/>
      <c r="W483" s="130"/>
      <c r="Y483" s="130"/>
      <c r="Z483" s="130"/>
      <c r="AA483" s="130"/>
      <c r="AB483" s="130"/>
      <c r="AC483" s="130"/>
      <c r="AD483" s="130"/>
      <c r="AI483" s="166"/>
      <c r="AJ483" s="130"/>
      <c r="AK483" s="130"/>
      <c r="AL483" s="130"/>
      <c r="AM483" s="130"/>
      <c r="AN483" s="130"/>
      <c r="AP483" s="32"/>
    </row>
    <row r="484" spans="1:42" x14ac:dyDescent="0.25">
      <c r="A484" s="148"/>
      <c r="B484" s="153"/>
      <c r="C484" s="119"/>
      <c r="D484" s="119"/>
      <c r="E484" s="154"/>
      <c r="F484" s="45"/>
      <c r="P484" s="130"/>
      <c r="S484" s="130"/>
      <c r="T484" s="130"/>
      <c r="U484" s="130"/>
      <c r="V484" s="130"/>
      <c r="W484" s="130"/>
      <c r="Y484" s="130"/>
      <c r="Z484" s="130"/>
      <c r="AA484" s="130"/>
      <c r="AB484" s="130"/>
      <c r="AC484" s="130"/>
      <c r="AD484" s="130"/>
      <c r="AI484" s="166"/>
      <c r="AJ484" s="130"/>
      <c r="AK484" s="130"/>
      <c r="AL484" s="130"/>
      <c r="AM484" s="130"/>
      <c r="AN484" s="130"/>
      <c r="AP484" s="32"/>
    </row>
    <row r="485" spans="1:42" x14ac:dyDescent="0.25">
      <c r="A485" s="148"/>
      <c r="B485" s="153"/>
      <c r="C485" s="119"/>
      <c r="D485" s="119"/>
      <c r="E485" s="154"/>
      <c r="F485" s="45"/>
      <c r="P485" s="130"/>
      <c r="S485" s="130"/>
      <c r="T485" s="130"/>
      <c r="U485" s="130"/>
      <c r="V485" s="130"/>
      <c r="W485" s="130"/>
      <c r="Y485" s="130"/>
      <c r="Z485" s="130"/>
      <c r="AA485" s="130"/>
      <c r="AB485" s="130"/>
      <c r="AC485" s="130"/>
      <c r="AD485" s="130"/>
      <c r="AI485" s="166"/>
      <c r="AJ485" s="130"/>
      <c r="AK485" s="130"/>
      <c r="AL485" s="130"/>
      <c r="AM485" s="130"/>
      <c r="AN485" s="130"/>
      <c r="AP485" s="32"/>
    </row>
    <row r="486" spans="1:42" x14ac:dyDescent="0.25">
      <c r="A486" s="148"/>
      <c r="B486" s="153"/>
      <c r="C486" s="119"/>
      <c r="D486" s="119"/>
      <c r="E486" s="154"/>
      <c r="F486" s="45"/>
      <c r="P486" s="130"/>
      <c r="S486" s="130"/>
      <c r="T486" s="130"/>
      <c r="U486" s="130"/>
      <c r="V486" s="130"/>
      <c r="W486" s="130"/>
      <c r="Y486" s="130"/>
      <c r="Z486" s="130"/>
      <c r="AA486" s="130"/>
      <c r="AB486" s="130"/>
      <c r="AC486" s="130"/>
      <c r="AD486" s="130"/>
      <c r="AI486" s="166"/>
      <c r="AJ486" s="130"/>
      <c r="AK486" s="130"/>
      <c r="AL486" s="130"/>
      <c r="AM486" s="130"/>
      <c r="AN486" s="130"/>
      <c r="AP486" s="32"/>
    </row>
    <row r="487" spans="1:42" x14ac:dyDescent="0.25">
      <c r="A487" s="148"/>
      <c r="B487" s="153"/>
      <c r="C487" s="119"/>
      <c r="D487" s="119"/>
      <c r="E487" s="154"/>
      <c r="F487" s="45"/>
      <c r="P487" s="130"/>
      <c r="S487" s="130"/>
      <c r="T487" s="130"/>
      <c r="U487" s="130"/>
      <c r="V487" s="130"/>
      <c r="W487" s="130"/>
      <c r="Y487" s="130"/>
      <c r="Z487" s="130"/>
      <c r="AA487" s="130"/>
      <c r="AB487" s="130"/>
      <c r="AC487" s="130"/>
      <c r="AD487" s="130"/>
      <c r="AI487" s="166"/>
      <c r="AJ487" s="130"/>
      <c r="AK487" s="130"/>
      <c r="AL487" s="130"/>
      <c r="AM487" s="130"/>
      <c r="AN487" s="130"/>
      <c r="AP487" s="32"/>
    </row>
    <row r="488" spans="1:42" x14ac:dyDescent="0.25">
      <c r="A488" s="148"/>
      <c r="B488" s="153"/>
      <c r="C488" s="119"/>
      <c r="D488" s="119"/>
      <c r="E488" s="154"/>
      <c r="F488" s="45"/>
      <c r="P488" s="130"/>
      <c r="S488" s="130"/>
      <c r="T488" s="130"/>
      <c r="U488" s="130"/>
      <c r="V488" s="130"/>
      <c r="W488" s="130"/>
      <c r="Y488" s="130"/>
      <c r="Z488" s="130"/>
      <c r="AA488" s="130"/>
      <c r="AB488" s="130"/>
      <c r="AC488" s="130"/>
      <c r="AD488" s="130"/>
      <c r="AI488" s="166"/>
      <c r="AJ488" s="130"/>
      <c r="AK488" s="130"/>
      <c r="AL488" s="130"/>
      <c r="AM488" s="130"/>
      <c r="AN488" s="130"/>
      <c r="AP488" s="32"/>
    </row>
    <row r="489" spans="1:42" x14ac:dyDescent="0.25">
      <c r="A489" s="148"/>
      <c r="B489" s="153"/>
      <c r="C489" s="119"/>
      <c r="D489" s="119"/>
      <c r="E489" s="154"/>
      <c r="F489" s="45"/>
      <c r="P489" s="130"/>
      <c r="S489" s="130"/>
      <c r="T489" s="130"/>
      <c r="U489" s="130"/>
      <c r="V489" s="130"/>
      <c r="W489" s="130"/>
      <c r="Y489" s="130"/>
      <c r="Z489" s="130"/>
      <c r="AA489" s="130"/>
      <c r="AB489" s="130"/>
      <c r="AC489" s="130"/>
      <c r="AD489" s="130"/>
      <c r="AI489" s="166"/>
      <c r="AJ489" s="130"/>
      <c r="AK489" s="130"/>
      <c r="AL489" s="130"/>
      <c r="AM489" s="130"/>
      <c r="AN489" s="130"/>
      <c r="AP489" s="32"/>
    </row>
    <row r="490" spans="1:42" x14ac:dyDescent="0.25">
      <c r="A490" s="148"/>
      <c r="B490" s="153"/>
      <c r="C490" s="119"/>
      <c r="D490" s="119"/>
      <c r="E490" s="154"/>
      <c r="F490" s="45"/>
      <c r="P490" s="130"/>
      <c r="S490" s="130"/>
      <c r="T490" s="130"/>
      <c r="U490" s="130"/>
      <c r="V490" s="130"/>
      <c r="W490" s="130"/>
      <c r="Y490" s="130"/>
      <c r="Z490" s="130"/>
      <c r="AA490" s="130"/>
      <c r="AB490" s="130"/>
      <c r="AC490" s="130"/>
      <c r="AD490" s="130"/>
      <c r="AI490" s="166"/>
      <c r="AJ490" s="130"/>
      <c r="AK490" s="130"/>
      <c r="AL490" s="130"/>
      <c r="AM490" s="130"/>
      <c r="AN490" s="130"/>
      <c r="AP490" s="32"/>
    </row>
    <row r="491" spans="1:42" x14ac:dyDescent="0.25">
      <c r="A491" s="148"/>
      <c r="B491" s="153"/>
      <c r="C491" s="119"/>
      <c r="D491" s="119"/>
      <c r="E491" s="154"/>
      <c r="F491" s="45"/>
      <c r="P491" s="130"/>
      <c r="S491" s="130"/>
      <c r="T491" s="130"/>
      <c r="U491" s="130"/>
      <c r="V491" s="130"/>
      <c r="W491" s="130"/>
      <c r="Y491" s="130"/>
      <c r="Z491" s="130"/>
      <c r="AA491" s="130"/>
      <c r="AB491" s="130"/>
      <c r="AC491" s="130"/>
      <c r="AD491" s="130"/>
      <c r="AI491" s="166"/>
      <c r="AJ491" s="130"/>
      <c r="AK491" s="130"/>
      <c r="AL491" s="130"/>
      <c r="AM491" s="130"/>
      <c r="AN491" s="130"/>
      <c r="AP491" s="32"/>
    </row>
    <row r="492" spans="1:42" x14ac:dyDescent="0.25">
      <c r="A492" s="148"/>
      <c r="B492" s="153"/>
      <c r="C492" s="119"/>
      <c r="D492" s="119"/>
      <c r="E492" s="154"/>
      <c r="F492" s="45"/>
      <c r="P492" s="130"/>
      <c r="S492" s="130"/>
      <c r="T492" s="130"/>
      <c r="U492" s="130"/>
      <c r="V492" s="130"/>
      <c r="W492" s="130"/>
      <c r="Y492" s="130"/>
      <c r="Z492" s="130"/>
      <c r="AA492" s="130"/>
      <c r="AB492" s="130"/>
      <c r="AC492" s="130"/>
      <c r="AD492" s="130"/>
      <c r="AI492" s="166"/>
      <c r="AJ492" s="130"/>
      <c r="AK492" s="130"/>
      <c r="AL492" s="130"/>
      <c r="AM492" s="130"/>
      <c r="AN492" s="130"/>
      <c r="AP492" s="32"/>
    </row>
    <row r="493" spans="1:42" x14ac:dyDescent="0.25">
      <c r="A493" s="148"/>
      <c r="B493" s="153"/>
      <c r="C493" s="119"/>
      <c r="D493" s="119"/>
      <c r="E493" s="154"/>
      <c r="F493" s="45"/>
      <c r="P493" s="130"/>
      <c r="S493" s="130"/>
      <c r="T493" s="130"/>
      <c r="U493" s="130"/>
      <c r="V493" s="130"/>
      <c r="W493" s="130"/>
      <c r="Y493" s="130"/>
      <c r="Z493" s="130"/>
      <c r="AA493" s="130"/>
      <c r="AB493" s="130"/>
      <c r="AC493" s="130"/>
      <c r="AD493" s="130"/>
      <c r="AI493" s="166"/>
      <c r="AJ493" s="130"/>
      <c r="AK493" s="130"/>
      <c r="AL493" s="130"/>
      <c r="AM493" s="130"/>
      <c r="AN493" s="130"/>
      <c r="AP493" s="32"/>
    </row>
    <row r="494" spans="1:42" x14ac:dyDescent="0.25">
      <c r="A494" s="148"/>
      <c r="B494" s="153"/>
      <c r="C494" s="119"/>
      <c r="D494" s="119"/>
      <c r="E494" s="154"/>
      <c r="F494" s="45"/>
      <c r="P494" s="130"/>
      <c r="S494" s="130"/>
      <c r="T494" s="130"/>
      <c r="U494" s="130"/>
      <c r="V494" s="130"/>
      <c r="W494" s="130"/>
      <c r="Y494" s="130"/>
      <c r="Z494" s="130"/>
      <c r="AA494" s="130"/>
      <c r="AB494" s="130"/>
      <c r="AC494" s="130"/>
      <c r="AD494" s="130"/>
      <c r="AI494" s="166"/>
      <c r="AJ494" s="130"/>
      <c r="AK494" s="130"/>
      <c r="AL494" s="130"/>
      <c r="AM494" s="130"/>
      <c r="AN494" s="130"/>
      <c r="AP494" s="32"/>
    </row>
    <row r="495" spans="1:42" x14ac:dyDescent="0.25">
      <c r="A495" s="148"/>
      <c r="B495" s="153"/>
      <c r="C495" s="119"/>
      <c r="D495" s="119"/>
      <c r="E495" s="154"/>
      <c r="F495" s="45"/>
      <c r="P495" s="130"/>
      <c r="S495" s="130"/>
      <c r="T495" s="130"/>
      <c r="U495" s="130"/>
      <c r="V495" s="130"/>
      <c r="W495" s="130"/>
      <c r="Y495" s="130"/>
      <c r="Z495" s="130"/>
      <c r="AA495" s="130"/>
      <c r="AB495" s="130"/>
      <c r="AC495" s="130"/>
      <c r="AD495" s="130"/>
      <c r="AI495" s="166"/>
      <c r="AJ495" s="130"/>
      <c r="AK495" s="130"/>
      <c r="AL495" s="130"/>
      <c r="AM495" s="130"/>
      <c r="AN495" s="130"/>
      <c r="AP495" s="32"/>
    </row>
    <row r="496" spans="1:42" x14ac:dyDescent="0.25">
      <c r="A496" s="148"/>
      <c r="B496" s="153"/>
      <c r="C496" s="119"/>
      <c r="D496" s="119"/>
      <c r="E496" s="154"/>
      <c r="F496" s="45"/>
      <c r="P496" s="130"/>
      <c r="S496" s="130"/>
      <c r="T496" s="130"/>
      <c r="U496" s="130"/>
      <c r="V496" s="130"/>
      <c r="W496" s="130"/>
      <c r="Y496" s="130"/>
      <c r="Z496" s="130"/>
      <c r="AA496" s="130"/>
      <c r="AB496" s="130"/>
      <c r="AC496" s="130"/>
      <c r="AD496" s="130"/>
      <c r="AI496" s="166"/>
      <c r="AJ496" s="130"/>
      <c r="AK496" s="130"/>
      <c r="AL496" s="130"/>
      <c r="AM496" s="130"/>
      <c r="AN496" s="130"/>
      <c r="AP496" s="32"/>
    </row>
    <row r="497" spans="1:42" x14ac:dyDescent="0.25">
      <c r="A497" s="148"/>
      <c r="B497" s="153"/>
      <c r="C497" s="119"/>
      <c r="D497" s="119"/>
      <c r="E497" s="154"/>
      <c r="F497" s="45"/>
      <c r="P497" s="130"/>
      <c r="S497" s="130"/>
      <c r="T497" s="130"/>
      <c r="U497" s="130"/>
      <c r="V497" s="130"/>
      <c r="W497" s="130"/>
      <c r="Y497" s="130"/>
      <c r="Z497" s="130"/>
      <c r="AA497" s="130"/>
      <c r="AB497" s="130"/>
      <c r="AC497" s="130"/>
      <c r="AD497" s="130"/>
      <c r="AI497" s="166"/>
      <c r="AJ497" s="130"/>
      <c r="AK497" s="130"/>
      <c r="AL497" s="130"/>
      <c r="AM497" s="130"/>
      <c r="AN497" s="130"/>
      <c r="AP497" s="32"/>
    </row>
    <row r="498" spans="1:42" x14ac:dyDescent="0.25">
      <c r="A498" s="148"/>
      <c r="B498" s="153"/>
      <c r="C498" s="119"/>
      <c r="D498" s="119"/>
      <c r="E498" s="154"/>
      <c r="F498" s="45"/>
      <c r="P498" s="130"/>
      <c r="S498" s="130"/>
      <c r="T498" s="130"/>
      <c r="U498" s="130"/>
      <c r="V498" s="130"/>
      <c r="W498" s="130"/>
      <c r="Y498" s="130"/>
      <c r="Z498" s="130"/>
      <c r="AA498" s="130"/>
      <c r="AB498" s="130"/>
      <c r="AC498" s="130"/>
      <c r="AD498" s="130"/>
      <c r="AI498" s="166"/>
      <c r="AJ498" s="130"/>
      <c r="AK498" s="130"/>
      <c r="AL498" s="130"/>
      <c r="AM498" s="130"/>
      <c r="AN498" s="130"/>
      <c r="AP498" s="32"/>
    </row>
    <row r="499" spans="1:42" x14ac:dyDescent="0.25">
      <c r="A499" s="148"/>
      <c r="B499" s="153"/>
      <c r="C499" s="119"/>
      <c r="D499" s="119"/>
      <c r="E499" s="154"/>
      <c r="F499" s="45"/>
      <c r="P499" s="130"/>
      <c r="S499" s="130"/>
      <c r="T499" s="130"/>
      <c r="U499" s="130"/>
      <c r="V499" s="130"/>
      <c r="W499" s="130"/>
      <c r="Y499" s="130"/>
      <c r="Z499" s="130"/>
      <c r="AA499" s="130"/>
      <c r="AB499" s="130"/>
      <c r="AC499" s="130"/>
      <c r="AD499" s="130"/>
      <c r="AI499" s="166"/>
      <c r="AJ499" s="130"/>
      <c r="AK499" s="130"/>
      <c r="AL499" s="130"/>
      <c r="AM499" s="130"/>
      <c r="AN499" s="130"/>
      <c r="AP499" s="32"/>
    </row>
    <row r="500" spans="1:42" x14ac:dyDescent="0.25">
      <c r="A500" s="148"/>
      <c r="B500" s="153"/>
      <c r="C500" s="119"/>
      <c r="D500" s="119"/>
      <c r="E500" s="154"/>
      <c r="F500" s="45"/>
      <c r="P500" s="130"/>
      <c r="S500" s="130"/>
      <c r="T500" s="130"/>
      <c r="U500" s="130"/>
      <c r="V500" s="130"/>
      <c r="W500" s="130"/>
      <c r="Y500" s="130"/>
      <c r="Z500" s="130"/>
      <c r="AA500" s="130"/>
      <c r="AB500" s="130"/>
      <c r="AC500" s="130"/>
      <c r="AD500" s="130"/>
      <c r="AI500" s="166"/>
      <c r="AJ500" s="130"/>
      <c r="AK500" s="130"/>
      <c r="AL500" s="130"/>
      <c r="AM500" s="130"/>
      <c r="AN500" s="130"/>
      <c r="AP500" s="32"/>
    </row>
    <row r="501" spans="1:42" x14ac:dyDescent="0.25">
      <c r="A501" s="148"/>
      <c r="B501" s="153"/>
      <c r="C501" s="119"/>
      <c r="D501" s="119"/>
      <c r="E501" s="154"/>
      <c r="F501" s="45"/>
      <c r="P501" s="130"/>
      <c r="S501" s="130"/>
      <c r="T501" s="130"/>
      <c r="U501" s="130"/>
      <c r="V501" s="130"/>
      <c r="W501" s="130"/>
      <c r="Y501" s="130"/>
      <c r="Z501" s="130"/>
      <c r="AA501" s="130"/>
      <c r="AB501" s="130"/>
      <c r="AC501" s="130"/>
      <c r="AD501" s="130"/>
      <c r="AI501" s="166"/>
      <c r="AJ501" s="130"/>
      <c r="AK501" s="130"/>
      <c r="AL501" s="130"/>
      <c r="AM501" s="130"/>
      <c r="AN501" s="130"/>
      <c r="AP501" s="32"/>
    </row>
    <row r="502" spans="1:42" x14ac:dyDescent="0.25">
      <c r="A502" s="148"/>
      <c r="B502" s="153"/>
      <c r="C502" s="119"/>
      <c r="D502" s="119"/>
      <c r="E502" s="154"/>
      <c r="F502" s="45"/>
      <c r="P502" s="130"/>
      <c r="S502" s="130"/>
      <c r="T502" s="130"/>
      <c r="U502" s="130"/>
      <c r="V502" s="130"/>
      <c r="W502" s="130"/>
      <c r="Y502" s="130"/>
      <c r="Z502" s="130"/>
      <c r="AA502" s="130"/>
      <c r="AB502" s="130"/>
      <c r="AC502" s="130"/>
      <c r="AD502" s="130"/>
      <c r="AI502" s="166"/>
      <c r="AJ502" s="130"/>
      <c r="AK502" s="130"/>
      <c r="AL502" s="130"/>
      <c r="AM502" s="130"/>
      <c r="AN502" s="130"/>
      <c r="AP502" s="32"/>
    </row>
    <row r="503" spans="1:42" x14ac:dyDescent="0.25">
      <c r="A503" s="148"/>
      <c r="B503" s="153"/>
      <c r="C503" s="119"/>
      <c r="D503" s="119"/>
      <c r="E503" s="154"/>
      <c r="F503" s="45"/>
      <c r="P503" s="130"/>
      <c r="S503" s="130"/>
      <c r="T503" s="130"/>
      <c r="U503" s="130"/>
      <c r="V503" s="130"/>
      <c r="W503" s="130"/>
      <c r="Y503" s="130"/>
      <c r="Z503" s="130"/>
      <c r="AA503" s="130"/>
      <c r="AB503" s="130"/>
      <c r="AC503" s="130"/>
      <c r="AD503" s="130"/>
      <c r="AI503" s="166"/>
      <c r="AJ503" s="130"/>
      <c r="AK503" s="130"/>
      <c r="AL503" s="130"/>
      <c r="AM503" s="130"/>
      <c r="AN503" s="130"/>
      <c r="AP503" s="32"/>
    </row>
    <row r="504" spans="1:42" x14ac:dyDescent="0.25">
      <c r="A504" s="148"/>
      <c r="B504" s="153"/>
      <c r="C504" s="119"/>
      <c r="D504" s="119"/>
      <c r="E504" s="154"/>
      <c r="F504" s="45"/>
      <c r="P504" s="130"/>
      <c r="S504" s="130"/>
      <c r="T504" s="130"/>
      <c r="U504" s="130"/>
      <c r="V504" s="130"/>
      <c r="W504" s="130"/>
      <c r="Y504" s="130"/>
      <c r="Z504" s="130"/>
      <c r="AA504" s="130"/>
      <c r="AB504" s="130"/>
      <c r="AC504" s="130"/>
      <c r="AD504" s="130"/>
      <c r="AI504" s="166"/>
      <c r="AJ504" s="130"/>
      <c r="AK504" s="130"/>
      <c r="AL504" s="130"/>
      <c r="AM504" s="130"/>
      <c r="AN504" s="130"/>
      <c r="AP504" s="32"/>
    </row>
    <row r="505" spans="1:42" x14ac:dyDescent="0.25">
      <c r="A505" s="148"/>
      <c r="B505" s="153"/>
      <c r="C505" s="119"/>
      <c r="D505" s="119"/>
      <c r="E505" s="154"/>
      <c r="F505" s="45"/>
      <c r="P505" s="130"/>
      <c r="S505" s="130"/>
      <c r="T505" s="130"/>
      <c r="U505" s="130"/>
      <c r="V505" s="130"/>
      <c r="W505" s="130"/>
      <c r="Y505" s="130"/>
      <c r="Z505" s="130"/>
      <c r="AA505" s="130"/>
      <c r="AB505" s="130"/>
      <c r="AC505" s="130"/>
      <c r="AD505" s="130"/>
      <c r="AI505" s="166"/>
      <c r="AJ505" s="130"/>
      <c r="AK505" s="130"/>
      <c r="AL505" s="130"/>
      <c r="AM505" s="130"/>
      <c r="AN505" s="130"/>
      <c r="AP505" s="32"/>
    </row>
    <row r="506" spans="1:42" x14ac:dyDescent="0.25">
      <c r="A506" s="148"/>
      <c r="B506" s="153"/>
      <c r="C506" s="119"/>
      <c r="D506" s="119"/>
      <c r="E506" s="154"/>
      <c r="F506" s="45"/>
      <c r="P506" s="130"/>
      <c r="S506" s="130"/>
      <c r="T506" s="130"/>
      <c r="U506" s="130"/>
      <c r="V506" s="130"/>
      <c r="W506" s="130"/>
      <c r="Y506" s="130"/>
      <c r="Z506" s="130"/>
      <c r="AA506" s="130"/>
      <c r="AB506" s="130"/>
      <c r="AC506" s="130"/>
      <c r="AD506" s="130"/>
      <c r="AI506" s="166"/>
      <c r="AJ506" s="130"/>
      <c r="AK506" s="130"/>
      <c r="AL506" s="130"/>
      <c r="AM506" s="130"/>
      <c r="AN506" s="130"/>
      <c r="AP506" s="32"/>
    </row>
    <row r="507" spans="1:42" x14ac:dyDescent="0.25">
      <c r="A507" s="148"/>
      <c r="B507" s="153"/>
      <c r="C507" s="119"/>
      <c r="D507" s="119"/>
      <c r="E507" s="154"/>
      <c r="F507" s="45"/>
      <c r="P507" s="130"/>
      <c r="S507" s="130"/>
      <c r="T507" s="130"/>
      <c r="U507" s="130"/>
      <c r="V507" s="130"/>
      <c r="W507" s="130"/>
      <c r="Y507" s="130"/>
      <c r="Z507" s="130"/>
      <c r="AA507" s="130"/>
      <c r="AB507" s="130"/>
      <c r="AC507" s="130"/>
      <c r="AD507" s="130"/>
      <c r="AI507" s="166"/>
      <c r="AJ507" s="130"/>
      <c r="AK507" s="130"/>
      <c r="AL507" s="130"/>
      <c r="AM507" s="130"/>
      <c r="AN507" s="130"/>
      <c r="AP507" s="32"/>
    </row>
    <row r="508" spans="1:42" x14ac:dyDescent="0.25">
      <c r="A508" s="148"/>
      <c r="B508" s="153"/>
      <c r="C508" s="119"/>
      <c r="D508" s="119"/>
      <c r="E508" s="154"/>
      <c r="F508" s="45"/>
      <c r="P508" s="130"/>
      <c r="S508" s="130"/>
      <c r="T508" s="130"/>
      <c r="U508" s="130"/>
      <c r="V508" s="130"/>
      <c r="W508" s="130"/>
      <c r="Y508" s="130"/>
      <c r="Z508" s="130"/>
      <c r="AA508" s="130"/>
      <c r="AB508" s="130"/>
      <c r="AC508" s="130"/>
      <c r="AD508" s="130"/>
      <c r="AI508" s="166"/>
      <c r="AJ508" s="130"/>
      <c r="AK508" s="130"/>
      <c r="AL508" s="130"/>
      <c r="AM508" s="130"/>
      <c r="AN508" s="130"/>
      <c r="AP508" s="32"/>
    </row>
    <row r="509" spans="1:42" x14ac:dyDescent="0.25">
      <c r="A509" s="148"/>
      <c r="B509" s="153"/>
      <c r="C509" s="119"/>
      <c r="D509" s="119"/>
      <c r="E509" s="154"/>
      <c r="F509" s="45"/>
      <c r="P509" s="130"/>
      <c r="S509" s="130"/>
      <c r="T509" s="130"/>
      <c r="U509" s="130"/>
      <c r="V509" s="130"/>
      <c r="W509" s="130"/>
      <c r="Y509" s="130"/>
      <c r="Z509" s="130"/>
      <c r="AA509" s="130"/>
      <c r="AB509" s="130"/>
      <c r="AC509" s="130"/>
      <c r="AD509" s="130"/>
      <c r="AI509" s="166"/>
      <c r="AJ509" s="130"/>
      <c r="AK509" s="130"/>
      <c r="AL509" s="130"/>
      <c r="AM509" s="130"/>
      <c r="AN509" s="130"/>
      <c r="AP509" s="32"/>
    </row>
    <row r="510" spans="1:42" x14ac:dyDescent="0.25">
      <c r="A510" s="148"/>
      <c r="B510" s="153"/>
      <c r="C510" s="119"/>
      <c r="D510" s="119"/>
      <c r="E510" s="154"/>
      <c r="F510" s="45"/>
      <c r="P510" s="130"/>
      <c r="S510" s="130"/>
      <c r="T510" s="130"/>
      <c r="U510" s="130"/>
      <c r="V510" s="130"/>
      <c r="W510" s="130"/>
      <c r="Y510" s="130"/>
      <c r="Z510" s="130"/>
      <c r="AA510" s="130"/>
      <c r="AB510" s="130"/>
      <c r="AC510" s="130"/>
      <c r="AD510" s="130"/>
      <c r="AI510" s="166"/>
      <c r="AJ510" s="130"/>
      <c r="AK510" s="130"/>
      <c r="AL510" s="130"/>
      <c r="AM510" s="130"/>
      <c r="AN510" s="130"/>
      <c r="AP510" s="32"/>
    </row>
    <row r="511" spans="1:42" x14ac:dyDescent="0.25">
      <c r="A511" s="148"/>
      <c r="B511" s="153"/>
      <c r="C511" s="119"/>
      <c r="D511" s="119"/>
      <c r="E511" s="154"/>
      <c r="F511" s="45"/>
      <c r="P511" s="130"/>
      <c r="S511" s="130"/>
      <c r="T511" s="130"/>
      <c r="U511" s="130"/>
      <c r="V511" s="130"/>
      <c r="W511" s="130"/>
      <c r="Y511" s="130"/>
      <c r="Z511" s="130"/>
      <c r="AA511" s="130"/>
      <c r="AB511" s="130"/>
      <c r="AC511" s="130"/>
      <c r="AD511" s="130"/>
      <c r="AI511" s="166"/>
      <c r="AJ511" s="130"/>
      <c r="AK511" s="130"/>
      <c r="AL511" s="130"/>
      <c r="AM511" s="130"/>
      <c r="AN511" s="130"/>
      <c r="AP511" s="32"/>
    </row>
    <row r="512" spans="1:42" x14ac:dyDescent="0.25">
      <c r="A512" s="148"/>
      <c r="B512" s="153"/>
      <c r="C512" s="119"/>
      <c r="D512" s="119"/>
      <c r="E512" s="154"/>
      <c r="F512" s="45"/>
      <c r="P512" s="130"/>
      <c r="S512" s="130"/>
      <c r="T512" s="130"/>
      <c r="U512" s="130"/>
      <c r="V512" s="130"/>
      <c r="W512" s="130"/>
      <c r="Y512" s="130"/>
      <c r="Z512" s="130"/>
      <c r="AA512" s="130"/>
      <c r="AB512" s="130"/>
      <c r="AC512" s="130"/>
      <c r="AD512" s="130"/>
      <c r="AI512" s="166"/>
      <c r="AJ512" s="130"/>
      <c r="AK512" s="130"/>
      <c r="AL512" s="130"/>
      <c r="AM512" s="130"/>
      <c r="AN512" s="130"/>
      <c r="AP512" s="32"/>
    </row>
    <row r="513" spans="1:42" x14ac:dyDescent="0.25">
      <c r="A513" s="148"/>
      <c r="B513" s="153"/>
      <c r="C513" s="119"/>
      <c r="D513" s="119"/>
      <c r="E513" s="154"/>
      <c r="F513" s="45"/>
      <c r="P513" s="130"/>
      <c r="S513" s="130"/>
      <c r="T513" s="130"/>
      <c r="U513" s="130"/>
      <c r="V513" s="130"/>
      <c r="W513" s="130"/>
      <c r="Y513" s="130"/>
      <c r="Z513" s="130"/>
      <c r="AA513" s="130"/>
      <c r="AB513" s="130"/>
      <c r="AC513" s="130"/>
      <c r="AD513" s="130"/>
      <c r="AI513" s="166"/>
      <c r="AJ513" s="130"/>
      <c r="AK513" s="130"/>
      <c r="AL513" s="130"/>
      <c r="AM513" s="130"/>
      <c r="AN513" s="130"/>
      <c r="AP513" s="32"/>
    </row>
    <row r="514" spans="1:42" x14ac:dyDescent="0.25">
      <c r="A514" s="148"/>
      <c r="B514" s="153"/>
      <c r="C514" s="119"/>
      <c r="D514" s="119"/>
      <c r="E514" s="154"/>
      <c r="F514" s="45"/>
      <c r="P514" s="130"/>
      <c r="S514" s="130"/>
      <c r="T514" s="130"/>
      <c r="U514" s="130"/>
      <c r="V514" s="130"/>
      <c r="W514" s="130"/>
      <c r="Y514" s="130"/>
      <c r="Z514" s="130"/>
      <c r="AA514" s="130"/>
      <c r="AB514" s="130"/>
      <c r="AC514" s="130"/>
      <c r="AD514" s="130"/>
      <c r="AI514" s="166"/>
      <c r="AJ514" s="130"/>
      <c r="AK514" s="130"/>
      <c r="AL514" s="130"/>
      <c r="AM514" s="130"/>
      <c r="AN514" s="130"/>
      <c r="AP514" s="32"/>
    </row>
    <row r="515" spans="1:42" x14ac:dyDescent="0.25">
      <c r="A515" s="148"/>
      <c r="B515" s="153"/>
      <c r="C515" s="119"/>
      <c r="D515" s="119"/>
      <c r="E515" s="154"/>
      <c r="F515" s="45"/>
      <c r="P515" s="130"/>
      <c r="S515" s="130"/>
      <c r="T515" s="130"/>
      <c r="U515" s="130"/>
      <c r="V515" s="130"/>
      <c r="W515" s="130"/>
      <c r="Y515" s="130"/>
      <c r="Z515" s="130"/>
      <c r="AA515" s="130"/>
      <c r="AB515" s="130"/>
      <c r="AC515" s="130"/>
      <c r="AD515" s="130"/>
      <c r="AI515" s="166"/>
      <c r="AJ515" s="130"/>
      <c r="AK515" s="130"/>
      <c r="AL515" s="130"/>
      <c r="AM515" s="130"/>
      <c r="AN515" s="130"/>
      <c r="AP515" s="32"/>
    </row>
    <row r="516" spans="1:42" x14ac:dyDescent="0.25">
      <c r="A516" s="148"/>
      <c r="B516" s="153"/>
      <c r="C516" s="119"/>
      <c r="D516" s="119"/>
      <c r="E516" s="154"/>
      <c r="F516" s="45"/>
      <c r="P516" s="130"/>
      <c r="S516" s="130"/>
      <c r="T516" s="130"/>
      <c r="U516" s="130"/>
      <c r="V516" s="130"/>
      <c r="W516" s="130"/>
      <c r="Y516" s="130"/>
      <c r="Z516" s="130"/>
      <c r="AA516" s="130"/>
      <c r="AB516" s="130"/>
      <c r="AC516" s="130"/>
      <c r="AD516" s="130"/>
      <c r="AI516" s="166"/>
      <c r="AJ516" s="130"/>
      <c r="AK516" s="130"/>
      <c r="AL516" s="130"/>
      <c r="AM516" s="130"/>
      <c r="AN516" s="130"/>
      <c r="AP516" s="32"/>
    </row>
    <row r="517" spans="1:42" x14ac:dyDescent="0.25">
      <c r="A517" s="148"/>
      <c r="B517" s="153"/>
      <c r="C517" s="119"/>
      <c r="D517" s="119"/>
      <c r="E517" s="154"/>
      <c r="F517" s="45"/>
      <c r="P517" s="130"/>
      <c r="S517" s="130"/>
      <c r="T517" s="130"/>
      <c r="U517" s="130"/>
      <c r="V517" s="130"/>
      <c r="W517" s="130"/>
      <c r="Y517" s="130"/>
      <c r="Z517" s="130"/>
      <c r="AA517" s="130"/>
      <c r="AB517" s="130"/>
      <c r="AC517" s="130"/>
      <c r="AD517" s="130"/>
      <c r="AI517" s="166"/>
      <c r="AJ517" s="130"/>
      <c r="AK517" s="130"/>
      <c r="AL517" s="130"/>
      <c r="AM517" s="130"/>
      <c r="AN517" s="130"/>
      <c r="AP517" s="32"/>
    </row>
    <row r="518" spans="1:42" x14ac:dyDescent="0.25">
      <c r="A518" s="148"/>
      <c r="B518" s="153"/>
      <c r="C518" s="119"/>
      <c r="D518" s="119"/>
      <c r="E518" s="154"/>
      <c r="F518" s="45"/>
      <c r="P518" s="130"/>
      <c r="S518" s="130"/>
      <c r="T518" s="130"/>
      <c r="U518" s="130"/>
      <c r="V518" s="130"/>
      <c r="W518" s="130"/>
      <c r="Y518" s="130"/>
      <c r="Z518" s="130"/>
      <c r="AA518" s="130"/>
      <c r="AB518" s="130"/>
      <c r="AC518" s="130"/>
      <c r="AD518" s="130"/>
      <c r="AI518" s="166"/>
      <c r="AJ518" s="130"/>
      <c r="AK518" s="130"/>
      <c r="AL518" s="130"/>
      <c r="AM518" s="130"/>
      <c r="AN518" s="130"/>
      <c r="AP518" s="32"/>
    </row>
    <row r="519" spans="1:42" x14ac:dyDescent="0.25">
      <c r="A519" s="148"/>
      <c r="B519" s="153"/>
      <c r="C519" s="119"/>
      <c r="D519" s="119"/>
      <c r="E519" s="154"/>
      <c r="F519" s="45"/>
      <c r="P519" s="130"/>
      <c r="S519" s="130"/>
      <c r="T519" s="130"/>
      <c r="U519" s="130"/>
      <c r="V519" s="130"/>
      <c r="W519" s="130"/>
      <c r="Y519" s="130"/>
      <c r="Z519" s="130"/>
      <c r="AA519" s="130"/>
      <c r="AB519" s="130"/>
      <c r="AC519" s="130"/>
      <c r="AD519" s="130"/>
      <c r="AI519" s="166"/>
      <c r="AJ519" s="130"/>
      <c r="AK519" s="130"/>
      <c r="AL519" s="130"/>
      <c r="AM519" s="130"/>
      <c r="AN519" s="130"/>
      <c r="AP519" s="32"/>
    </row>
    <row r="520" spans="1:42" x14ac:dyDescent="0.25">
      <c r="A520" s="148"/>
      <c r="B520" s="153"/>
      <c r="C520" s="119"/>
      <c r="D520" s="119"/>
      <c r="E520" s="154"/>
      <c r="F520" s="45"/>
      <c r="P520" s="130"/>
      <c r="S520" s="130"/>
      <c r="T520" s="130"/>
      <c r="U520" s="130"/>
      <c r="V520" s="130"/>
      <c r="W520" s="130"/>
      <c r="Y520" s="130"/>
      <c r="Z520" s="130"/>
      <c r="AA520" s="130"/>
      <c r="AB520" s="130"/>
      <c r="AC520" s="130"/>
      <c r="AD520" s="130"/>
      <c r="AI520" s="166"/>
      <c r="AJ520" s="130"/>
      <c r="AK520" s="130"/>
      <c r="AL520" s="130"/>
      <c r="AM520" s="130"/>
      <c r="AN520" s="130"/>
      <c r="AP520" s="32"/>
    </row>
    <row r="521" spans="1:42" x14ac:dyDescent="0.25">
      <c r="A521" s="148"/>
      <c r="B521" s="153"/>
      <c r="C521" s="119"/>
      <c r="D521" s="119"/>
      <c r="E521" s="154"/>
      <c r="F521" s="45"/>
      <c r="P521" s="130"/>
      <c r="S521" s="130"/>
      <c r="T521" s="130"/>
      <c r="U521" s="130"/>
      <c r="V521" s="130"/>
      <c r="W521" s="130"/>
      <c r="Y521" s="130"/>
      <c r="Z521" s="130"/>
      <c r="AA521" s="130"/>
      <c r="AB521" s="130"/>
      <c r="AC521" s="130"/>
      <c r="AD521" s="130"/>
      <c r="AI521" s="166"/>
      <c r="AJ521" s="130"/>
      <c r="AK521" s="130"/>
      <c r="AL521" s="130"/>
      <c r="AM521" s="130"/>
      <c r="AN521" s="130"/>
      <c r="AP521" s="32"/>
    </row>
    <row r="522" spans="1:42" x14ac:dyDescent="0.25">
      <c r="A522" s="148"/>
      <c r="B522" s="153"/>
      <c r="C522" s="119"/>
      <c r="D522" s="119"/>
      <c r="E522" s="154"/>
      <c r="F522" s="45"/>
      <c r="P522" s="130"/>
      <c r="S522" s="130"/>
      <c r="T522" s="130"/>
      <c r="U522" s="130"/>
      <c r="V522" s="130"/>
      <c r="W522" s="130"/>
      <c r="Y522" s="130"/>
      <c r="Z522" s="130"/>
      <c r="AA522" s="130"/>
      <c r="AB522" s="130"/>
      <c r="AC522" s="130"/>
      <c r="AD522" s="130"/>
      <c r="AI522" s="166"/>
      <c r="AJ522" s="130"/>
      <c r="AK522" s="130"/>
      <c r="AL522" s="130"/>
      <c r="AM522" s="130"/>
      <c r="AN522" s="130"/>
      <c r="AP522" s="32"/>
    </row>
    <row r="523" spans="1:42" x14ac:dyDescent="0.25">
      <c r="A523" s="148"/>
      <c r="B523" s="153"/>
      <c r="C523" s="119"/>
      <c r="D523" s="119"/>
      <c r="E523" s="154"/>
      <c r="F523" s="45"/>
      <c r="P523" s="130"/>
      <c r="S523" s="130"/>
      <c r="T523" s="130"/>
      <c r="U523" s="130"/>
      <c r="V523" s="130"/>
      <c r="W523" s="130"/>
      <c r="Y523" s="130"/>
      <c r="Z523" s="130"/>
      <c r="AA523" s="130"/>
      <c r="AB523" s="130"/>
      <c r="AC523" s="130"/>
      <c r="AD523" s="130"/>
      <c r="AI523" s="166"/>
      <c r="AJ523" s="130"/>
      <c r="AK523" s="130"/>
      <c r="AL523" s="130"/>
      <c r="AM523" s="130"/>
      <c r="AN523" s="130"/>
      <c r="AP523" s="32"/>
    </row>
    <row r="524" spans="1:42" x14ac:dyDescent="0.25">
      <c r="A524" s="148"/>
      <c r="B524" s="153"/>
      <c r="C524" s="119"/>
      <c r="D524" s="119"/>
      <c r="E524" s="154"/>
      <c r="F524" s="45"/>
      <c r="P524" s="130"/>
      <c r="S524" s="130"/>
      <c r="T524" s="130"/>
      <c r="U524" s="130"/>
      <c r="V524" s="130"/>
      <c r="W524" s="130"/>
      <c r="Y524" s="130"/>
      <c r="Z524" s="130"/>
      <c r="AA524" s="130"/>
      <c r="AB524" s="130"/>
      <c r="AC524" s="130"/>
      <c r="AD524" s="130"/>
      <c r="AI524" s="166"/>
      <c r="AJ524" s="130"/>
      <c r="AK524" s="130"/>
      <c r="AL524" s="130"/>
      <c r="AM524" s="130"/>
      <c r="AN524" s="130"/>
      <c r="AP524" s="32"/>
    </row>
    <row r="525" spans="1:42" x14ac:dyDescent="0.25">
      <c r="A525" s="148"/>
      <c r="B525" s="153"/>
      <c r="C525" s="119"/>
      <c r="D525" s="119"/>
      <c r="E525" s="154"/>
      <c r="F525" s="45"/>
      <c r="P525" s="130"/>
      <c r="S525" s="130"/>
      <c r="T525" s="130"/>
      <c r="U525" s="130"/>
      <c r="V525" s="130"/>
      <c r="W525" s="130"/>
      <c r="Y525" s="130"/>
      <c r="Z525" s="130"/>
      <c r="AA525" s="130"/>
      <c r="AB525" s="130"/>
      <c r="AC525" s="130"/>
      <c r="AD525" s="130"/>
      <c r="AI525" s="166"/>
      <c r="AJ525" s="130"/>
      <c r="AK525" s="130"/>
      <c r="AL525" s="130"/>
      <c r="AM525" s="130"/>
      <c r="AN525" s="130"/>
      <c r="AP525" s="32"/>
    </row>
    <row r="526" spans="1:42" x14ac:dyDescent="0.25">
      <c r="A526" s="148"/>
      <c r="B526" s="153"/>
      <c r="C526" s="119"/>
      <c r="D526" s="119"/>
      <c r="E526" s="154"/>
      <c r="F526" s="45"/>
      <c r="P526" s="130"/>
      <c r="S526" s="130"/>
      <c r="T526" s="130"/>
      <c r="U526" s="130"/>
      <c r="V526" s="130"/>
      <c r="W526" s="130"/>
      <c r="Y526" s="130"/>
      <c r="Z526" s="130"/>
      <c r="AA526" s="130"/>
      <c r="AB526" s="130"/>
      <c r="AC526" s="130"/>
      <c r="AD526" s="130"/>
      <c r="AI526" s="166"/>
      <c r="AJ526" s="130"/>
      <c r="AK526" s="130"/>
      <c r="AL526" s="130"/>
      <c r="AM526" s="130"/>
      <c r="AN526" s="130"/>
      <c r="AP526" s="32"/>
    </row>
    <row r="527" spans="1:42" x14ac:dyDescent="0.25">
      <c r="A527" s="148"/>
      <c r="B527" s="153"/>
      <c r="C527" s="119"/>
      <c r="D527" s="119"/>
      <c r="E527" s="154"/>
      <c r="F527" s="45"/>
      <c r="P527" s="130"/>
      <c r="S527" s="130"/>
      <c r="T527" s="130"/>
      <c r="U527" s="130"/>
      <c r="V527" s="130"/>
      <c r="W527" s="130"/>
      <c r="Y527" s="130"/>
      <c r="Z527" s="130"/>
      <c r="AA527" s="130"/>
      <c r="AB527" s="130"/>
      <c r="AC527" s="130"/>
      <c r="AD527" s="130"/>
      <c r="AI527" s="166"/>
      <c r="AJ527" s="130"/>
      <c r="AK527" s="130"/>
      <c r="AL527" s="130"/>
      <c r="AM527" s="130"/>
      <c r="AN527" s="130"/>
      <c r="AP527" s="32"/>
    </row>
    <row r="528" spans="1:42" x14ac:dyDescent="0.25">
      <c r="A528" s="148"/>
      <c r="B528" s="153"/>
      <c r="C528" s="119"/>
      <c r="D528" s="119"/>
      <c r="E528" s="154"/>
      <c r="F528" s="45"/>
      <c r="P528" s="130"/>
      <c r="S528" s="130"/>
      <c r="T528" s="130"/>
      <c r="U528" s="130"/>
      <c r="V528" s="130"/>
      <c r="W528" s="130"/>
      <c r="Y528" s="130"/>
      <c r="Z528" s="130"/>
      <c r="AA528" s="130"/>
      <c r="AB528" s="130"/>
      <c r="AC528" s="130"/>
      <c r="AD528" s="130"/>
      <c r="AI528" s="166"/>
      <c r="AJ528" s="130"/>
      <c r="AK528" s="130"/>
      <c r="AL528" s="130"/>
      <c r="AM528" s="130"/>
      <c r="AN528" s="130"/>
      <c r="AP528" s="32"/>
    </row>
    <row r="529" spans="1:42" x14ac:dyDescent="0.25">
      <c r="A529" s="148"/>
      <c r="B529" s="153"/>
      <c r="C529" s="119"/>
      <c r="D529" s="119"/>
      <c r="E529" s="154"/>
      <c r="F529" s="45"/>
      <c r="P529" s="130"/>
      <c r="S529" s="130"/>
      <c r="T529" s="130"/>
      <c r="U529" s="130"/>
      <c r="V529" s="130"/>
      <c r="W529" s="130"/>
      <c r="Y529" s="130"/>
      <c r="Z529" s="130"/>
      <c r="AA529" s="130"/>
      <c r="AB529" s="130"/>
      <c r="AC529" s="130"/>
      <c r="AD529" s="130"/>
      <c r="AI529" s="166"/>
      <c r="AJ529" s="130"/>
      <c r="AK529" s="130"/>
      <c r="AL529" s="130"/>
      <c r="AM529" s="130"/>
      <c r="AN529" s="130"/>
      <c r="AP529" s="32"/>
    </row>
    <row r="530" spans="1:42" x14ac:dyDescent="0.25">
      <c r="A530" s="148"/>
      <c r="B530" s="153"/>
      <c r="C530" s="119"/>
      <c r="D530" s="119"/>
      <c r="E530" s="154"/>
      <c r="F530" s="45"/>
      <c r="P530" s="130"/>
      <c r="S530" s="130"/>
      <c r="T530" s="130"/>
      <c r="U530" s="130"/>
      <c r="V530" s="130"/>
      <c r="W530" s="130"/>
      <c r="Y530" s="130"/>
      <c r="Z530" s="130"/>
      <c r="AA530" s="130"/>
      <c r="AB530" s="130"/>
      <c r="AC530" s="130"/>
      <c r="AD530" s="130"/>
      <c r="AI530" s="166"/>
      <c r="AJ530" s="130"/>
      <c r="AK530" s="130"/>
      <c r="AL530" s="130"/>
      <c r="AM530" s="130"/>
      <c r="AN530" s="130"/>
      <c r="AP530" s="32"/>
    </row>
    <row r="531" spans="1:42" x14ac:dyDescent="0.25">
      <c r="A531" s="148"/>
      <c r="B531" s="153"/>
      <c r="C531" s="119"/>
      <c r="D531" s="119"/>
      <c r="E531" s="154"/>
      <c r="F531" s="45"/>
      <c r="P531" s="130"/>
      <c r="S531" s="130"/>
      <c r="T531" s="130"/>
      <c r="U531" s="130"/>
      <c r="V531" s="130"/>
      <c r="W531" s="130"/>
      <c r="Y531" s="130"/>
      <c r="Z531" s="130"/>
      <c r="AA531" s="130"/>
      <c r="AB531" s="130"/>
      <c r="AC531" s="130"/>
      <c r="AD531" s="130"/>
      <c r="AI531" s="166"/>
      <c r="AJ531" s="130"/>
      <c r="AK531" s="130"/>
      <c r="AL531" s="130"/>
      <c r="AM531" s="130"/>
      <c r="AN531" s="130"/>
      <c r="AP531" s="32"/>
    </row>
    <row r="532" spans="1:42" x14ac:dyDescent="0.25">
      <c r="A532" s="148"/>
      <c r="B532" s="153"/>
      <c r="C532" s="119"/>
      <c r="D532" s="119"/>
      <c r="E532" s="154"/>
      <c r="F532" s="45"/>
      <c r="P532" s="130"/>
      <c r="S532" s="130"/>
      <c r="T532" s="130"/>
      <c r="U532" s="130"/>
      <c r="V532" s="130"/>
      <c r="W532" s="130"/>
      <c r="Y532" s="130"/>
      <c r="Z532" s="130"/>
      <c r="AA532" s="130"/>
      <c r="AB532" s="130"/>
      <c r="AC532" s="130"/>
      <c r="AD532" s="130"/>
      <c r="AI532" s="166"/>
      <c r="AJ532" s="130"/>
      <c r="AK532" s="130"/>
      <c r="AL532" s="130"/>
      <c r="AM532" s="130"/>
      <c r="AN532" s="130"/>
      <c r="AP532" s="32"/>
    </row>
    <row r="533" spans="1:42" x14ac:dyDescent="0.25">
      <c r="A533" s="148"/>
      <c r="B533" s="153"/>
      <c r="C533" s="119"/>
      <c r="D533" s="119"/>
      <c r="E533" s="154"/>
      <c r="F533" s="45"/>
      <c r="P533" s="130"/>
      <c r="S533" s="130"/>
      <c r="T533" s="130"/>
      <c r="U533" s="130"/>
      <c r="V533" s="130"/>
      <c r="W533" s="130"/>
      <c r="Y533" s="130"/>
      <c r="Z533" s="130"/>
      <c r="AA533" s="130"/>
      <c r="AB533" s="130"/>
      <c r="AC533" s="130"/>
      <c r="AD533" s="130"/>
      <c r="AI533" s="166"/>
      <c r="AJ533" s="130"/>
      <c r="AK533" s="130"/>
      <c r="AL533" s="130"/>
      <c r="AM533" s="130"/>
      <c r="AN533" s="130"/>
      <c r="AP533" s="32"/>
    </row>
    <row r="534" spans="1:42" x14ac:dyDescent="0.25">
      <c r="A534" s="148"/>
      <c r="B534" s="153"/>
      <c r="C534" s="119"/>
      <c r="D534" s="119"/>
      <c r="E534" s="154"/>
      <c r="F534" s="45"/>
      <c r="P534" s="130"/>
      <c r="S534" s="130"/>
      <c r="T534" s="130"/>
      <c r="U534" s="130"/>
      <c r="V534" s="130"/>
      <c r="W534" s="130"/>
      <c r="Y534" s="130"/>
      <c r="Z534" s="130"/>
      <c r="AA534" s="130"/>
      <c r="AB534" s="130"/>
      <c r="AC534" s="130"/>
      <c r="AD534" s="130"/>
      <c r="AI534" s="166"/>
      <c r="AJ534" s="130"/>
      <c r="AK534" s="130"/>
      <c r="AL534" s="130"/>
      <c r="AM534" s="130"/>
      <c r="AN534" s="130"/>
      <c r="AP534" s="32"/>
    </row>
    <row r="535" spans="1:42" x14ac:dyDescent="0.25">
      <c r="A535" s="148"/>
      <c r="B535" s="153"/>
      <c r="C535" s="119"/>
      <c r="D535" s="119"/>
      <c r="E535" s="154"/>
      <c r="F535" s="45"/>
      <c r="P535" s="130"/>
      <c r="S535" s="130"/>
      <c r="T535" s="130"/>
      <c r="U535" s="130"/>
      <c r="V535" s="130"/>
      <c r="W535" s="130"/>
      <c r="Y535" s="130"/>
      <c r="Z535" s="130"/>
      <c r="AA535" s="130"/>
      <c r="AB535" s="130"/>
      <c r="AC535" s="130"/>
      <c r="AD535" s="130"/>
      <c r="AI535" s="166"/>
      <c r="AJ535" s="130"/>
      <c r="AK535" s="130"/>
      <c r="AL535" s="130"/>
      <c r="AM535" s="130"/>
      <c r="AN535" s="130"/>
      <c r="AP535" s="32"/>
    </row>
    <row r="536" spans="1:42" x14ac:dyDescent="0.25">
      <c r="A536" s="148"/>
      <c r="B536" s="153"/>
      <c r="C536" s="119"/>
      <c r="D536" s="119"/>
      <c r="E536" s="154"/>
      <c r="F536" s="45"/>
      <c r="P536" s="130"/>
      <c r="S536" s="130"/>
      <c r="T536" s="130"/>
      <c r="U536" s="130"/>
      <c r="V536" s="130"/>
      <c r="W536" s="130"/>
      <c r="Y536" s="130"/>
      <c r="Z536" s="130"/>
      <c r="AA536" s="130"/>
      <c r="AB536" s="130"/>
      <c r="AC536" s="130"/>
      <c r="AD536" s="130"/>
      <c r="AI536" s="166"/>
      <c r="AJ536" s="130"/>
      <c r="AK536" s="130"/>
      <c r="AL536" s="130"/>
      <c r="AM536" s="130"/>
      <c r="AN536" s="130"/>
      <c r="AP536" s="32"/>
    </row>
    <row r="537" spans="1:42" x14ac:dyDescent="0.25">
      <c r="A537" s="148"/>
      <c r="B537" s="153"/>
      <c r="C537" s="119"/>
      <c r="D537" s="119"/>
      <c r="E537" s="154"/>
      <c r="F537" s="45"/>
      <c r="P537" s="130"/>
      <c r="S537" s="130"/>
      <c r="T537" s="130"/>
      <c r="U537" s="130"/>
      <c r="V537" s="130"/>
      <c r="W537" s="130"/>
      <c r="Y537" s="130"/>
      <c r="Z537" s="130"/>
      <c r="AA537" s="130"/>
      <c r="AB537" s="130"/>
      <c r="AC537" s="130"/>
      <c r="AD537" s="130"/>
      <c r="AI537" s="166"/>
      <c r="AJ537" s="130"/>
      <c r="AK537" s="130"/>
      <c r="AL537" s="130"/>
      <c r="AM537" s="130"/>
      <c r="AN537" s="130"/>
      <c r="AP537" s="32"/>
    </row>
    <row r="538" spans="1:42" x14ac:dyDescent="0.25">
      <c r="A538" s="148"/>
      <c r="B538" s="153"/>
      <c r="C538" s="119"/>
      <c r="D538" s="119"/>
      <c r="E538" s="154"/>
      <c r="F538" s="45"/>
      <c r="P538" s="130"/>
      <c r="S538" s="130"/>
      <c r="T538" s="130"/>
      <c r="U538" s="130"/>
      <c r="V538" s="130"/>
      <c r="W538" s="130"/>
      <c r="Y538" s="130"/>
      <c r="Z538" s="130"/>
      <c r="AA538" s="130"/>
      <c r="AB538" s="130"/>
      <c r="AC538" s="130"/>
      <c r="AD538" s="130"/>
      <c r="AI538" s="166"/>
      <c r="AJ538" s="130"/>
      <c r="AK538" s="130"/>
      <c r="AL538" s="130"/>
      <c r="AM538" s="130"/>
      <c r="AN538" s="130"/>
      <c r="AP538" s="32"/>
    </row>
    <row r="539" spans="1:42" x14ac:dyDescent="0.25">
      <c r="A539" s="148"/>
      <c r="B539" s="153"/>
      <c r="C539" s="119"/>
      <c r="D539" s="119"/>
      <c r="E539" s="154"/>
      <c r="F539" s="45"/>
      <c r="P539" s="130"/>
      <c r="S539" s="130"/>
      <c r="T539" s="130"/>
      <c r="U539" s="130"/>
      <c r="V539" s="130"/>
      <c r="W539" s="130"/>
      <c r="Y539" s="130"/>
      <c r="Z539" s="130"/>
      <c r="AA539" s="130"/>
      <c r="AB539" s="130"/>
      <c r="AC539" s="130"/>
      <c r="AD539" s="130"/>
      <c r="AI539" s="166"/>
      <c r="AJ539" s="130"/>
      <c r="AK539" s="130"/>
      <c r="AL539" s="130"/>
      <c r="AM539" s="130"/>
      <c r="AN539" s="130"/>
      <c r="AP539" s="32"/>
    </row>
    <row r="540" spans="1:42" x14ac:dyDescent="0.25">
      <c r="A540" s="148"/>
      <c r="B540" s="153"/>
      <c r="C540" s="119"/>
      <c r="D540" s="119"/>
      <c r="E540" s="154"/>
      <c r="F540" s="45"/>
      <c r="P540" s="130"/>
      <c r="S540" s="130"/>
      <c r="T540" s="130"/>
      <c r="U540" s="130"/>
      <c r="V540" s="130"/>
      <c r="W540" s="130"/>
      <c r="Y540" s="130"/>
      <c r="Z540" s="130"/>
      <c r="AA540" s="130"/>
      <c r="AB540" s="130"/>
      <c r="AC540" s="130"/>
      <c r="AD540" s="130"/>
    </row>
    <row r="541" spans="1:42" x14ac:dyDescent="0.25">
      <c r="A541" s="148"/>
      <c r="B541" s="153"/>
      <c r="C541" s="119"/>
      <c r="D541" s="119"/>
      <c r="E541" s="154"/>
      <c r="F541" s="45"/>
      <c r="P541" s="130"/>
      <c r="S541" s="130"/>
      <c r="T541" s="130"/>
      <c r="U541" s="130"/>
      <c r="V541" s="130"/>
      <c r="W541" s="130"/>
      <c r="Y541" s="130"/>
      <c r="Z541" s="130"/>
      <c r="AA541" s="130"/>
      <c r="AB541" s="130"/>
      <c r="AC541" s="130"/>
      <c r="AD541" s="130"/>
    </row>
    <row r="542" spans="1:42" x14ac:dyDescent="0.25">
      <c r="A542" s="148"/>
      <c r="B542" s="153"/>
      <c r="C542" s="119"/>
      <c r="D542" s="119"/>
      <c r="E542" s="154"/>
      <c r="F542" s="45"/>
      <c r="P542" s="130"/>
      <c r="S542" s="130"/>
      <c r="T542" s="130"/>
      <c r="U542" s="130"/>
      <c r="V542" s="130"/>
      <c r="W542" s="130"/>
    </row>
    <row r="543" spans="1:42" x14ac:dyDescent="0.25">
      <c r="A543" s="148"/>
      <c r="B543" s="153"/>
      <c r="C543" s="119"/>
      <c r="D543" s="119"/>
      <c r="E543" s="154"/>
      <c r="F543" s="45"/>
      <c r="P543" s="130"/>
      <c r="S543" s="130"/>
      <c r="T543" s="130"/>
      <c r="U543" s="130"/>
      <c r="V543" s="130"/>
      <c r="W543" s="130"/>
    </row>
    <row r="544" spans="1:42" x14ac:dyDescent="0.25">
      <c r="A544" s="148"/>
      <c r="B544" s="153"/>
      <c r="C544" s="119"/>
      <c r="D544" s="119"/>
      <c r="E544" s="154"/>
      <c r="F544" s="45"/>
    </row>
    <row r="545" spans="1:6" x14ac:dyDescent="0.25">
      <c r="A545" s="148"/>
      <c r="B545" s="153"/>
      <c r="C545" s="119"/>
      <c r="D545" s="119"/>
      <c r="E545" s="154"/>
      <c r="F545" s="45"/>
    </row>
    <row r="546" spans="1:6" x14ac:dyDescent="0.25">
      <c r="A546" s="148"/>
      <c r="B546" s="153"/>
      <c r="C546" s="119"/>
      <c r="D546" s="119"/>
      <c r="E546" s="154"/>
      <c r="F546" s="45"/>
    </row>
    <row r="547" spans="1:6" x14ac:dyDescent="0.25">
      <c r="A547" s="148"/>
      <c r="B547" s="153"/>
      <c r="C547" s="119"/>
      <c r="D547" s="119"/>
      <c r="E547" s="154"/>
      <c r="F547" s="45"/>
    </row>
    <row r="548" spans="1:6" x14ac:dyDescent="0.25">
      <c r="A548" s="148"/>
      <c r="B548" s="153"/>
      <c r="C548" s="119"/>
      <c r="D548" s="119"/>
      <c r="E548" s="154"/>
      <c r="F548" s="45"/>
    </row>
    <row r="549" spans="1:6" x14ac:dyDescent="0.25">
      <c r="A549" s="148"/>
      <c r="B549" s="153"/>
      <c r="C549" s="119"/>
      <c r="D549" s="119"/>
      <c r="E549" s="154"/>
      <c r="F549" s="45"/>
    </row>
  </sheetData>
  <mergeCells count="6">
    <mergeCell ref="N1:O1"/>
    <mergeCell ref="AD1:AF1"/>
    <mergeCell ref="BV1:CW1"/>
    <mergeCell ref="S1:V1"/>
    <mergeCell ref="AJ1:AN1"/>
    <mergeCell ref="W1:AB1"/>
  </mergeCells>
  <phoneticPr fontId="18" type="noConversion"/>
  <pageMargins left="0.74791666666666667" right="0.74791666666666667" top="0.98402777777777783" bottom="0.98402777777777783" header="0.51180555555555562" footer="0.51180555555555562"/>
  <pageSetup paperSize="9" scale="70" firstPageNumber="0" orientation="landscape" horizontalDpi="300" verticalDpi="300" r:id="rId1"/>
  <headerFooter alignWithMargins="0"/>
  <colBreaks count="1" manualBreakCount="1">
    <brk id="1" max="1048575" man="1"/>
  </colBreaks>
  <drawing r:id="rId2"/>
  <legacyDrawing r:id="rId3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31"/>
  <sheetViews>
    <sheetView topLeftCell="A58" zoomScale="85" zoomScaleNormal="85" workbookViewId="0">
      <pane ySplit="435" activePane="bottomLeft"/>
      <selection activeCell="AG49" sqref="AG49"/>
      <selection pane="bottomLeft" activeCell="S53" sqref="S53"/>
    </sheetView>
  </sheetViews>
  <sheetFormatPr defaultRowHeight="12.75" x14ac:dyDescent="0.2"/>
  <cols>
    <col min="1" max="1" width="12.85546875" customWidth="1"/>
  </cols>
  <sheetData>
    <row r="1" spans="1:22" s="16" customFormat="1" ht="15" x14ac:dyDescent="0.25">
      <c r="A1" s="30" t="s">
        <v>64</v>
      </c>
      <c r="B1" s="65" t="s">
        <v>95</v>
      </c>
      <c r="C1" s="17" t="s">
        <v>146</v>
      </c>
      <c r="D1" s="17" t="s">
        <v>147</v>
      </c>
      <c r="E1" s="97" t="s">
        <v>29</v>
      </c>
      <c r="F1" s="89" t="s">
        <v>38</v>
      </c>
      <c r="G1" s="87" t="s">
        <v>39</v>
      </c>
      <c r="H1" s="87" t="s">
        <v>40</v>
      </c>
      <c r="I1" s="90" t="s">
        <v>41</v>
      </c>
      <c r="J1" s="89" t="s">
        <v>1</v>
      </c>
      <c r="K1" s="87" t="s">
        <v>2</v>
      </c>
      <c r="L1" s="87" t="s">
        <v>114</v>
      </c>
      <c r="M1" s="89" t="s">
        <v>97</v>
      </c>
      <c r="N1" s="87" t="s">
        <v>98</v>
      </c>
      <c r="O1" s="87" t="s">
        <v>42</v>
      </c>
      <c r="P1" s="87" t="s">
        <v>72</v>
      </c>
      <c r="Q1" s="59" t="s">
        <v>34</v>
      </c>
      <c r="R1" s="59" t="s">
        <v>148</v>
      </c>
      <c r="S1" s="16" t="s">
        <v>113</v>
      </c>
      <c r="T1" s="16" t="s">
        <v>151</v>
      </c>
    </row>
    <row r="2" spans="1:22" s="79" customFormat="1" ht="12.75" customHeight="1" x14ac:dyDescent="0.25">
      <c r="A2" s="29" t="s">
        <v>125</v>
      </c>
      <c r="B2" s="66">
        <v>0.25118864315095779</v>
      </c>
      <c r="C2" s="44">
        <v>5.4794520547945209E-2</v>
      </c>
      <c r="D2" s="44">
        <v>7.7777777777777795</v>
      </c>
      <c r="E2" s="99">
        <v>10.220000000000001</v>
      </c>
      <c r="F2" s="174">
        <v>143.6952941763561</v>
      </c>
      <c r="G2" s="26">
        <v>53.827739387956562</v>
      </c>
      <c r="H2" s="26">
        <v>45.622009569377994</v>
      </c>
      <c r="I2" s="26">
        <v>0</v>
      </c>
      <c r="J2" s="95">
        <v>8.5482579688658262E-3</v>
      </c>
      <c r="K2" s="122">
        <v>2.4961411048437638E-3</v>
      </c>
      <c r="L2" s="60">
        <v>4.5514580072081248E-5</v>
      </c>
      <c r="M2" s="101">
        <v>49.480821892211871</v>
      </c>
      <c r="N2" s="84">
        <v>5.0734023127262207</v>
      </c>
      <c r="O2" s="82">
        <v>89.938726490472519</v>
      </c>
      <c r="P2" s="83">
        <v>4.0823011140951619</v>
      </c>
      <c r="Q2" s="35">
        <v>0.48433968356474005</v>
      </c>
      <c r="R2" s="139">
        <v>8</v>
      </c>
      <c r="S2" s="173">
        <v>35</v>
      </c>
      <c r="T2" s="79">
        <v>281.96105631181916</v>
      </c>
    </row>
    <row r="3" spans="1:22" s="79" customFormat="1" ht="15.75" x14ac:dyDescent="0.25">
      <c r="A3" s="29" t="s">
        <v>127</v>
      </c>
      <c r="B3" s="67">
        <v>0.41686938347033492</v>
      </c>
      <c r="C3" s="62">
        <v>6.3306615948919995E-2</v>
      </c>
      <c r="D3" s="62">
        <v>7.0606060606060606</v>
      </c>
      <c r="E3" s="99">
        <v>7.3609999999999998</v>
      </c>
      <c r="F3" s="174">
        <v>251.67722940266481</v>
      </c>
      <c r="G3" s="26">
        <v>82.999341888779199</v>
      </c>
      <c r="H3" s="174">
        <v>67.407133536320146</v>
      </c>
      <c r="I3" s="26">
        <v>0</v>
      </c>
      <c r="J3" s="94">
        <v>4.2145663454410676E-3</v>
      </c>
      <c r="K3" s="84">
        <v>1.0678735786552065E-2</v>
      </c>
      <c r="L3" s="2">
        <v>1.6454130110306162E-3</v>
      </c>
      <c r="M3" s="101">
        <v>100.10462210786241</v>
      </c>
      <c r="N3" s="84">
        <v>6.7958665448952162</v>
      </c>
      <c r="O3" s="82">
        <v>95.127004575057242</v>
      </c>
      <c r="P3" s="83">
        <v>5.3480554396150985</v>
      </c>
      <c r="Q3" s="117">
        <v>0.48433968356474005</v>
      </c>
      <c r="R3" s="139">
        <v>12</v>
      </c>
      <c r="S3" s="173">
        <v>31</v>
      </c>
      <c r="T3" s="79">
        <v>221.61650706456305</v>
      </c>
    </row>
    <row r="4" spans="1:22" s="79" customFormat="1" ht="15.75" x14ac:dyDescent="0.25">
      <c r="A4" s="29" t="s">
        <v>107</v>
      </c>
      <c r="B4" s="67">
        <v>0.40738027780411229</v>
      </c>
      <c r="C4" s="62">
        <v>5.1406597854685286E-2</v>
      </c>
      <c r="D4" s="62">
        <v>7.6969696969696964</v>
      </c>
      <c r="E4" s="99">
        <v>4.9409999999999998</v>
      </c>
      <c r="F4" s="174">
        <v>245.22930285942414</v>
      </c>
      <c r="G4" s="26">
        <v>74.392810134912793</v>
      </c>
      <c r="H4" s="26">
        <v>327.62374945628534</v>
      </c>
      <c r="I4" s="26">
        <v>0</v>
      </c>
      <c r="J4" s="94">
        <v>5.1890289103039293E-4</v>
      </c>
      <c r="K4" s="84">
        <v>2.4840540782523055E-3</v>
      </c>
      <c r="L4" s="2">
        <v>0</v>
      </c>
      <c r="M4" s="101">
        <v>55.60187943892879</v>
      </c>
      <c r="N4" s="84">
        <v>5.3178850800380157</v>
      </c>
      <c r="O4" s="82">
        <v>374.0111189074662</v>
      </c>
      <c r="P4" s="83">
        <v>4.4519013771469833</v>
      </c>
      <c r="Q4" s="118">
        <v>0.38747174685179209</v>
      </c>
      <c r="R4" s="139">
        <v>13</v>
      </c>
      <c r="S4" s="173">
        <v>0</v>
      </c>
      <c r="T4" s="79">
        <v>954.26209784308276</v>
      </c>
    </row>
    <row r="5" spans="1:22" s="79" customFormat="1" ht="15.75" x14ac:dyDescent="0.25">
      <c r="A5" s="81" t="s">
        <v>108</v>
      </c>
      <c r="B5" s="67">
        <v>7.7624711662868925E-2</v>
      </c>
      <c r="C5" s="62">
        <v>4.9142327306444133E-2</v>
      </c>
      <c r="D5" s="62">
        <v>6.838709677419355</v>
      </c>
      <c r="E5" s="99">
        <v>4.3140000000000001</v>
      </c>
      <c r="F5" s="174">
        <v>1421.3184290633264</v>
      </c>
      <c r="G5" s="174">
        <v>433.53158933859822</v>
      </c>
      <c r="H5" s="174">
        <v>695.06742061765988</v>
      </c>
      <c r="I5" s="26">
        <v>66.466165413533844</v>
      </c>
      <c r="J5" s="94">
        <v>3.4027242401779101E-4</v>
      </c>
      <c r="K5" s="84">
        <v>3.4762109409974037E-3</v>
      </c>
      <c r="L5" s="2">
        <v>5.3466999162692487E-4</v>
      </c>
      <c r="M5" s="101">
        <v>369.33701827198752</v>
      </c>
      <c r="N5" s="84">
        <v>19.673549839476511</v>
      </c>
      <c r="O5" s="82">
        <v>586.70436538593685</v>
      </c>
      <c r="P5" s="83">
        <v>9.3757830691368831</v>
      </c>
      <c r="Q5" s="32">
        <v>4.2621892153697125</v>
      </c>
      <c r="R5" s="139">
        <v>92</v>
      </c>
      <c r="S5" s="173">
        <v>10</v>
      </c>
      <c r="T5" s="79">
        <v>1936.6410026827191</v>
      </c>
    </row>
    <row r="6" spans="1:22" s="79" customFormat="1" ht="15.75" x14ac:dyDescent="0.25">
      <c r="A6" s="29" t="s">
        <v>104</v>
      </c>
      <c r="B6" s="67">
        <v>3.4673685045253172E-2</v>
      </c>
      <c r="C6" s="62">
        <v>4.1576906505816455E-2</v>
      </c>
      <c r="D6" s="62">
        <v>8.0416666666666661</v>
      </c>
      <c r="E6" s="99">
        <v>4.6420000000000003</v>
      </c>
      <c r="F6" s="174">
        <v>918.02485153949783</v>
      </c>
      <c r="G6" s="174">
        <v>340.93205001645276</v>
      </c>
      <c r="H6" s="174">
        <v>795.0369725967812</v>
      </c>
      <c r="I6" s="174">
        <v>69.06015037593987</v>
      </c>
      <c r="J6" s="94">
        <v>3.0173647146034097E-4</v>
      </c>
      <c r="K6" s="84">
        <v>2.7578476139314173E-4</v>
      </c>
      <c r="L6" s="2">
        <v>0</v>
      </c>
      <c r="M6" s="101">
        <v>332.18261227149611</v>
      </c>
      <c r="N6" s="84">
        <v>92.552969827987596</v>
      </c>
      <c r="O6" s="82">
        <v>927.96246277068872</v>
      </c>
      <c r="P6" s="83">
        <v>15.674176592924082</v>
      </c>
      <c r="Q6" s="117">
        <v>0.58120762027768813</v>
      </c>
      <c r="R6" s="139">
        <v>15</v>
      </c>
      <c r="S6" s="173">
        <v>38</v>
      </c>
      <c r="T6" s="79">
        <v>944.15128036642182</v>
      </c>
    </row>
    <row r="7" spans="1:22" s="79" customFormat="1" ht="15.75" x14ac:dyDescent="0.25">
      <c r="A7" s="29" t="s">
        <v>105</v>
      </c>
      <c r="B7" s="67">
        <v>3.0199517204020188E-2</v>
      </c>
      <c r="C7" s="62">
        <v>4.0058418527018566E-2</v>
      </c>
      <c r="D7" s="62">
        <v>11.294117647058822</v>
      </c>
      <c r="E7" s="99">
        <v>4.7930000000000001</v>
      </c>
      <c r="F7" s="174">
        <v>902.83946304705808</v>
      </c>
      <c r="G7" s="174">
        <v>231.94389601842713</v>
      </c>
      <c r="H7" s="174">
        <v>793.64941278816877</v>
      </c>
      <c r="I7" s="26">
        <v>44.33967571991203</v>
      </c>
      <c r="J7" s="94">
        <v>0</v>
      </c>
      <c r="K7" s="84">
        <v>0</v>
      </c>
      <c r="L7" s="2">
        <v>0</v>
      </c>
      <c r="M7" s="101">
        <v>408.94083080047886</v>
      </c>
      <c r="N7" s="84">
        <v>54.388255320920337</v>
      </c>
      <c r="O7" s="82">
        <v>945.32152930440861</v>
      </c>
      <c r="P7" s="83">
        <v>9.4477363342568239</v>
      </c>
      <c r="Q7" s="117">
        <v>0.38747174685179209</v>
      </c>
      <c r="R7" s="139">
        <v>10</v>
      </c>
      <c r="S7" s="173">
        <v>29</v>
      </c>
      <c r="T7" s="79">
        <v>825.2366292308202</v>
      </c>
    </row>
    <row r="8" spans="1:22" s="79" customFormat="1" ht="15.75" x14ac:dyDescent="0.25">
      <c r="A8" s="29" t="s">
        <v>106</v>
      </c>
      <c r="B8" s="67">
        <v>4.0738027780411253E-2</v>
      </c>
      <c r="C8" s="62">
        <v>3.2934131736526949E-2</v>
      </c>
      <c r="D8" s="62">
        <v>8.25</v>
      </c>
      <c r="E8" s="99">
        <v>4.008</v>
      </c>
      <c r="F8" s="174">
        <v>1112.7850691152253</v>
      </c>
      <c r="G8" s="174">
        <v>251.12948338269163</v>
      </c>
      <c r="H8" s="174">
        <v>1099.4649847759897</v>
      </c>
      <c r="I8" s="174">
        <v>70.885888189862428</v>
      </c>
      <c r="J8" s="94">
        <v>0</v>
      </c>
      <c r="K8" s="84">
        <v>0</v>
      </c>
      <c r="L8" s="2">
        <v>0</v>
      </c>
      <c r="M8" s="101">
        <v>491.10600886402187</v>
      </c>
      <c r="N8" s="84">
        <v>6.389267685656896</v>
      </c>
      <c r="O8" s="82">
        <v>1247.732492612043</v>
      </c>
      <c r="P8" s="83">
        <v>8.2723373944355405</v>
      </c>
      <c r="Q8" s="117">
        <v>0.29060381013884407</v>
      </c>
      <c r="R8" s="139">
        <v>13</v>
      </c>
      <c r="S8" s="173">
        <v>34</v>
      </c>
      <c r="T8" s="79">
        <v>1155.7939535267312</v>
      </c>
    </row>
    <row r="9" spans="1:22" s="79" customFormat="1" ht="15.75" x14ac:dyDescent="0.25">
      <c r="A9" s="29" t="s">
        <v>103</v>
      </c>
      <c r="B9" s="67">
        <v>0.1659586907437556</v>
      </c>
      <c r="C9" s="62">
        <v>5.2655064703257468E-2</v>
      </c>
      <c r="D9" s="62">
        <v>8.4285714285714288</v>
      </c>
      <c r="E9" s="99">
        <v>2.2410000000000001</v>
      </c>
      <c r="F9" s="174">
        <v>225.99481012026547</v>
      </c>
      <c r="G9" s="26">
        <v>63.006581112207954</v>
      </c>
      <c r="H9" s="174">
        <v>160.77163984341018</v>
      </c>
      <c r="I9" s="26">
        <v>0</v>
      </c>
      <c r="J9" s="94">
        <v>0</v>
      </c>
      <c r="K9" s="84">
        <v>0</v>
      </c>
      <c r="L9" s="2">
        <v>0</v>
      </c>
      <c r="M9" s="101">
        <v>95.274303450470228</v>
      </c>
      <c r="N9" s="84">
        <v>10.48281447410357</v>
      </c>
      <c r="O9" s="82">
        <v>217.88788894383362</v>
      </c>
      <c r="P9" s="83">
        <v>5.2346243789050417</v>
      </c>
      <c r="Q9" s="117">
        <v>0.29060381013884407</v>
      </c>
      <c r="R9" s="139">
        <v>5</v>
      </c>
      <c r="S9" s="173">
        <v>34</v>
      </c>
      <c r="T9" s="79">
        <v>225.70731474037734</v>
      </c>
    </row>
    <row r="10" spans="1:22" s="79" customFormat="1" ht="15.75" x14ac:dyDescent="0.25">
      <c r="A10" s="29" t="s">
        <v>110</v>
      </c>
      <c r="B10" s="67">
        <v>7.5857757502918149E-2</v>
      </c>
      <c r="C10" s="62">
        <v>5.1103843008994274E-2</v>
      </c>
      <c r="D10" s="62">
        <v>10.416666666666666</v>
      </c>
      <c r="E10" s="99">
        <v>2.4460000000000002</v>
      </c>
      <c r="F10" s="174">
        <v>95.741304456310189</v>
      </c>
      <c r="G10" s="174">
        <v>25.508144126357351</v>
      </c>
      <c r="H10" s="174">
        <v>5.6416702914310575</v>
      </c>
      <c r="I10" s="26">
        <v>0</v>
      </c>
      <c r="J10" s="94">
        <v>3.0306597479614532E-4</v>
      </c>
      <c r="K10" s="84">
        <v>0</v>
      </c>
      <c r="L10" s="2">
        <v>0</v>
      </c>
      <c r="M10" s="101">
        <v>42.559375099538507</v>
      </c>
      <c r="N10" s="84">
        <v>8.4695265974434051</v>
      </c>
      <c r="O10" s="82">
        <v>51.583306216027864</v>
      </c>
      <c r="P10" s="83">
        <v>4.3166603957510459</v>
      </c>
      <c r="Q10" s="32">
        <v>0.19373587342589604</v>
      </c>
      <c r="R10" s="139">
        <v>3</v>
      </c>
      <c r="S10" s="173">
        <v>34</v>
      </c>
      <c r="T10" s="79">
        <v>95.471443350449164</v>
      </c>
    </row>
    <row r="11" spans="1:22" s="79" customFormat="1" ht="15.75" x14ac:dyDescent="0.25">
      <c r="A11" s="29" t="s">
        <v>111</v>
      </c>
      <c r="B11" s="67">
        <v>5.3703179637025322E-3</v>
      </c>
      <c r="C11" s="62">
        <v>2.5337014779925289E-2</v>
      </c>
      <c r="D11" s="62">
        <v>14.181818181818183</v>
      </c>
      <c r="E11" s="99">
        <v>6.157</v>
      </c>
      <c r="F11" s="174">
        <v>1149.4086531264034</v>
      </c>
      <c r="G11" s="26">
        <v>308.51678183613029</v>
      </c>
      <c r="H11" s="26">
        <v>565.77642453240537</v>
      </c>
      <c r="I11" s="26">
        <v>30.132729783642784</v>
      </c>
      <c r="J11" s="94">
        <v>0</v>
      </c>
      <c r="K11" s="84">
        <v>0</v>
      </c>
      <c r="L11" s="2">
        <v>0</v>
      </c>
      <c r="M11" s="101">
        <v>168.43158996374322</v>
      </c>
      <c r="N11" s="84">
        <v>3.2254578940662864</v>
      </c>
      <c r="O11" s="82">
        <v>407.19831325594726</v>
      </c>
      <c r="P11" s="83">
        <v>4.268951194250679</v>
      </c>
      <c r="Q11" s="118">
        <v>0.19373587342589604</v>
      </c>
      <c r="R11" s="139">
        <v>2</v>
      </c>
      <c r="S11" s="173">
        <v>41</v>
      </c>
      <c r="T11" s="79">
        <v>1710.0053164167766</v>
      </c>
    </row>
    <row r="12" spans="1:22" s="79" customFormat="1" ht="15.75" x14ac:dyDescent="0.25">
      <c r="A12" s="150" t="s">
        <v>138</v>
      </c>
      <c r="B12" s="67">
        <v>0.31622776601683733</v>
      </c>
      <c r="C12" s="62">
        <v>3.5961640916355883E-2</v>
      </c>
      <c r="D12" s="62">
        <v>13.5</v>
      </c>
      <c r="E12" s="99">
        <v>0.75080000000000002</v>
      </c>
      <c r="F12" s="174">
        <v>273.70327860671688</v>
      </c>
      <c r="G12" s="174">
        <v>76.878331688055269</v>
      </c>
      <c r="H12" s="174">
        <v>36.90561113527621</v>
      </c>
      <c r="I12" s="26">
        <v>0</v>
      </c>
      <c r="J12" s="94">
        <v>0</v>
      </c>
      <c r="K12" s="84">
        <v>0</v>
      </c>
      <c r="L12" s="2">
        <v>0</v>
      </c>
      <c r="M12" s="101">
        <v>185.48294851499756</v>
      </c>
      <c r="N12" s="84">
        <v>5.9007640202410734</v>
      </c>
      <c r="O12" s="82">
        <v>81.512896621800195</v>
      </c>
      <c r="P12" s="83">
        <v>4.3058528011254529</v>
      </c>
      <c r="Q12" s="118">
        <v>9.6867936712948022E-2</v>
      </c>
      <c r="R12" s="139">
        <v>20</v>
      </c>
      <c r="S12" s="173">
        <v>29</v>
      </c>
      <c r="T12" s="79">
        <v>241.89445370529103</v>
      </c>
    </row>
    <row r="16" spans="1:22" x14ac:dyDescent="0.2">
      <c r="B16" s="123"/>
      <c r="C16" s="123" t="s">
        <v>95</v>
      </c>
      <c r="D16" s="123" t="s">
        <v>146</v>
      </c>
      <c r="E16" s="123" t="s">
        <v>147</v>
      </c>
      <c r="F16" s="123" t="s">
        <v>28</v>
      </c>
      <c r="G16" s="123" t="s">
        <v>152</v>
      </c>
      <c r="H16" s="123" t="s">
        <v>153</v>
      </c>
      <c r="I16" s="123" t="s">
        <v>154</v>
      </c>
      <c r="J16" s="123" t="s">
        <v>155</v>
      </c>
      <c r="K16" s="123" t="s">
        <v>1</v>
      </c>
      <c r="L16" s="123" t="s">
        <v>2</v>
      </c>
      <c r="M16" s="123" t="s">
        <v>114</v>
      </c>
      <c r="N16" s="123" t="s">
        <v>156</v>
      </c>
      <c r="O16" s="123" t="s">
        <v>157</v>
      </c>
      <c r="P16" s="123" t="s">
        <v>158</v>
      </c>
      <c r="Q16" s="123" t="s">
        <v>72</v>
      </c>
      <c r="R16" s="123" t="s">
        <v>34</v>
      </c>
      <c r="S16" s="79"/>
      <c r="T16" s="79"/>
      <c r="U16" s="79"/>
      <c r="V16" s="79"/>
    </row>
    <row r="17" spans="2:33" x14ac:dyDescent="0.2">
      <c r="B17" s="123" t="s">
        <v>146</v>
      </c>
      <c r="C17" s="123">
        <v>0.60399999999999998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</row>
    <row r="18" spans="2:33" x14ac:dyDescent="0.2">
      <c r="B18" s="123"/>
      <c r="C18" s="123">
        <v>4.9000000000000002E-2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F18" s="124"/>
      <c r="AG18" s="124"/>
    </row>
    <row r="19" spans="2:33" x14ac:dyDescent="0.2"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</row>
    <row r="20" spans="2:33" x14ac:dyDescent="0.2">
      <c r="B20" s="123" t="s">
        <v>147</v>
      </c>
      <c r="C20" s="123">
        <v>-0.27100000000000002</v>
      </c>
      <c r="D20" s="123">
        <v>-0.71299999999999997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</row>
    <row r="21" spans="2:33" x14ac:dyDescent="0.2">
      <c r="B21" s="123"/>
      <c r="C21" s="123">
        <v>0.42</v>
      </c>
      <c r="D21" s="123">
        <v>1.4E-2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</row>
    <row r="22" spans="2:33" x14ac:dyDescent="0.2"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</row>
    <row r="23" spans="2:33" x14ac:dyDescent="0.2">
      <c r="B23" s="123" t="s">
        <v>28</v>
      </c>
      <c r="C23" s="123">
        <v>0.17</v>
      </c>
      <c r="D23" s="123">
        <v>0.29599999999999999</v>
      </c>
      <c r="E23" s="123">
        <v>-0.34100000000000003</v>
      </c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</row>
    <row r="24" spans="2:33" x14ac:dyDescent="0.2">
      <c r="B24" s="123"/>
      <c r="C24" s="123">
        <v>0.61699999999999999</v>
      </c>
      <c r="D24" s="123">
        <v>0.377</v>
      </c>
      <c r="E24" s="123">
        <v>0.30499999999999999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</row>
    <row r="25" spans="2:33" x14ac:dyDescent="0.2"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</row>
    <row r="26" spans="2:33" x14ac:dyDescent="0.2">
      <c r="B26" s="123" t="s">
        <v>152</v>
      </c>
      <c r="C26" s="123">
        <v>-0.68600000000000005</v>
      </c>
      <c r="D26" s="123">
        <v>-0.59599999999999997</v>
      </c>
      <c r="E26" s="123">
        <v>5.8999999999999997E-2</v>
      </c>
      <c r="F26" s="123">
        <v>-4.0000000000000001E-3</v>
      </c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</row>
    <row r="27" spans="2:33" x14ac:dyDescent="0.2">
      <c r="B27" s="123"/>
      <c r="C27" s="123">
        <v>0.02</v>
      </c>
      <c r="D27" s="123">
        <v>5.2999999999999999E-2</v>
      </c>
      <c r="E27" s="123">
        <v>0.86199999999999999</v>
      </c>
      <c r="F27" s="123">
        <v>0.99099999999999999</v>
      </c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F27" s="79"/>
    </row>
    <row r="28" spans="2:33" x14ac:dyDescent="0.2"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</row>
    <row r="29" spans="2:33" x14ac:dyDescent="0.2">
      <c r="B29" s="123" t="s">
        <v>153</v>
      </c>
      <c r="C29" s="123">
        <v>-0.64600000000000002</v>
      </c>
      <c r="D29" s="123">
        <v>-0.49299999999999999</v>
      </c>
      <c r="E29" s="123">
        <v>-2.5000000000000001E-2</v>
      </c>
      <c r="F29" s="123">
        <v>2.7E-2</v>
      </c>
      <c r="G29" s="124">
        <v>0.96799999999999997</v>
      </c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</row>
    <row r="30" spans="2:33" x14ac:dyDescent="0.2">
      <c r="B30" s="123"/>
      <c r="C30" s="123">
        <v>3.2000000000000001E-2</v>
      </c>
      <c r="D30" s="123">
        <v>0.123</v>
      </c>
      <c r="E30" s="123">
        <v>0.94099999999999995</v>
      </c>
      <c r="F30" s="123">
        <v>0.93700000000000006</v>
      </c>
      <c r="G30" s="124">
        <v>0</v>
      </c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</row>
    <row r="31" spans="2:33" x14ac:dyDescent="0.2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</row>
    <row r="32" spans="2:33" x14ac:dyDescent="0.2">
      <c r="B32" s="123" t="s">
        <v>154</v>
      </c>
      <c r="C32" s="123">
        <v>-0.65400000000000003</v>
      </c>
      <c r="D32" s="123">
        <v>-0.57699999999999996</v>
      </c>
      <c r="E32" s="123">
        <v>-7.4999999999999997E-2</v>
      </c>
      <c r="F32" s="123">
        <v>-2.9000000000000001E-2</v>
      </c>
      <c r="G32" s="124">
        <v>0.87</v>
      </c>
      <c r="H32" s="123">
        <v>0.80900000000000005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</row>
    <row r="33" spans="2:32" x14ac:dyDescent="0.2">
      <c r="B33" s="123"/>
      <c r="C33" s="123">
        <v>2.9000000000000001E-2</v>
      </c>
      <c r="D33" s="123">
        <v>6.3E-2</v>
      </c>
      <c r="E33" s="123">
        <v>0.82799999999999996</v>
      </c>
      <c r="F33" s="123">
        <v>0.93200000000000005</v>
      </c>
      <c r="G33" s="124">
        <v>0</v>
      </c>
      <c r="H33" s="123">
        <v>3.0000000000000001E-3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</row>
    <row r="34" spans="2:32" x14ac:dyDescent="0.2"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F34" s="79"/>
    </row>
    <row r="35" spans="2:32" x14ac:dyDescent="0.2">
      <c r="B35" s="123" t="s">
        <v>155</v>
      </c>
      <c r="C35" s="123">
        <v>-0.70299999999999996</v>
      </c>
      <c r="D35" s="123">
        <v>-0.48899999999999999</v>
      </c>
      <c r="E35" s="123">
        <v>-0.14799999999999999</v>
      </c>
      <c r="F35" s="123">
        <v>-4.2999999999999997E-2</v>
      </c>
      <c r="G35" s="124">
        <v>0.90600000000000003</v>
      </c>
      <c r="H35" s="124">
        <v>0.90400000000000003</v>
      </c>
      <c r="I35" s="124">
        <v>0.93600000000000005</v>
      </c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</row>
    <row r="36" spans="2:32" x14ac:dyDescent="0.2">
      <c r="B36" s="123"/>
      <c r="C36" s="123">
        <v>1.6E-2</v>
      </c>
      <c r="D36" s="123">
        <v>0.127</v>
      </c>
      <c r="E36" s="123">
        <v>0.66400000000000003</v>
      </c>
      <c r="F36" s="123">
        <v>0.9</v>
      </c>
      <c r="G36" s="124">
        <v>0</v>
      </c>
      <c r="H36" s="124">
        <v>0</v>
      </c>
      <c r="I36" s="124">
        <v>0</v>
      </c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</row>
    <row r="37" spans="2:32" x14ac:dyDescent="0.2"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</row>
    <row r="38" spans="2:32" x14ac:dyDescent="0.2">
      <c r="B38" s="123" t="s">
        <v>1</v>
      </c>
      <c r="C38" s="123">
        <v>0.43099999999999999</v>
      </c>
      <c r="D38" s="123">
        <v>0.54</v>
      </c>
      <c r="E38" s="123">
        <v>-0.37</v>
      </c>
      <c r="F38" s="124">
        <v>0.82099999999999995</v>
      </c>
      <c r="G38" s="123">
        <v>-0.41799999999999998</v>
      </c>
      <c r="H38" s="123">
        <v>-0.36899999999999999</v>
      </c>
      <c r="I38" s="123">
        <v>-0.442</v>
      </c>
      <c r="J38" s="123">
        <v>-0.376</v>
      </c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F38" s="79"/>
    </row>
    <row r="39" spans="2:32" x14ac:dyDescent="0.2">
      <c r="B39" s="123"/>
      <c r="C39" s="123">
        <v>0.186</v>
      </c>
      <c r="D39" s="123">
        <v>8.5999999999999993E-2</v>
      </c>
      <c r="E39" s="123">
        <v>0.26200000000000001</v>
      </c>
      <c r="F39" s="124">
        <v>2E-3</v>
      </c>
      <c r="G39" s="123">
        <v>0.20100000000000001</v>
      </c>
      <c r="H39" s="123">
        <v>0.26400000000000001</v>
      </c>
      <c r="I39" s="123">
        <v>0.17399999999999999</v>
      </c>
      <c r="J39" s="123">
        <v>0.255</v>
      </c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2:32" x14ac:dyDescent="0.2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2:32" x14ac:dyDescent="0.2">
      <c r="B41" s="123" t="s">
        <v>2</v>
      </c>
      <c r="C41" s="123">
        <v>0.625</v>
      </c>
      <c r="D41" s="123">
        <v>0.67900000000000005</v>
      </c>
      <c r="E41" s="123">
        <v>-0.51500000000000001</v>
      </c>
      <c r="F41" s="123">
        <v>0.49199999999999999</v>
      </c>
      <c r="G41" s="123">
        <v>-0.193</v>
      </c>
      <c r="H41" s="123">
        <v>-0.13600000000000001</v>
      </c>
      <c r="I41" s="123">
        <v>-0.30599999999999999</v>
      </c>
      <c r="J41" s="123">
        <v>-0.24099999999999999</v>
      </c>
      <c r="K41" s="123">
        <v>0.502</v>
      </c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2:32" x14ac:dyDescent="0.2">
      <c r="B42" s="123"/>
      <c r="C42" s="123">
        <v>0.04</v>
      </c>
      <c r="D42" s="123">
        <v>2.1999999999999999E-2</v>
      </c>
      <c r="E42" s="123">
        <v>0.105</v>
      </c>
      <c r="F42" s="123">
        <v>0.125</v>
      </c>
      <c r="G42" s="123">
        <v>0.56999999999999995</v>
      </c>
      <c r="H42" s="123">
        <v>0.68899999999999995</v>
      </c>
      <c r="I42" s="123">
        <v>0.36099999999999999</v>
      </c>
      <c r="J42" s="123">
        <v>0.47399999999999998</v>
      </c>
      <c r="K42" s="123">
        <v>0.11600000000000001</v>
      </c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2:32" x14ac:dyDescent="0.2"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F43" s="79"/>
    </row>
    <row r="44" spans="2:32" x14ac:dyDescent="0.2">
      <c r="B44" s="123" t="s">
        <v>114</v>
      </c>
      <c r="C44" s="123">
        <v>0.47</v>
      </c>
      <c r="D44" s="123">
        <v>0.57299999999999995</v>
      </c>
      <c r="E44" s="123">
        <v>-0.41</v>
      </c>
      <c r="F44" s="123">
        <v>0.33600000000000002</v>
      </c>
      <c r="G44" s="123">
        <v>-7.3999999999999996E-2</v>
      </c>
      <c r="H44" s="123">
        <v>-3.1E-2</v>
      </c>
      <c r="I44" s="123">
        <v>-0.22800000000000001</v>
      </c>
      <c r="J44" s="123">
        <v>-0.13400000000000001</v>
      </c>
      <c r="K44" s="123">
        <v>0.33900000000000002</v>
      </c>
      <c r="L44" s="124">
        <v>0.95799999999999996</v>
      </c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2:32" x14ac:dyDescent="0.2">
      <c r="B45" s="123"/>
      <c r="C45" s="123">
        <v>0.14499999999999999</v>
      </c>
      <c r="D45" s="123">
        <v>6.5000000000000002E-2</v>
      </c>
      <c r="E45" s="123">
        <v>0.21099999999999999</v>
      </c>
      <c r="F45" s="123">
        <v>0.313</v>
      </c>
      <c r="G45" s="123">
        <v>0.82799999999999996</v>
      </c>
      <c r="H45" s="123">
        <v>0.92700000000000005</v>
      </c>
      <c r="I45" s="123">
        <v>0.501</v>
      </c>
      <c r="J45" s="123">
        <v>0.69399999999999995</v>
      </c>
      <c r="K45" s="123">
        <v>0.307</v>
      </c>
      <c r="L45" s="124">
        <v>0</v>
      </c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  <row r="46" spans="2:32" x14ac:dyDescent="0.2"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</row>
    <row r="47" spans="2:32" x14ac:dyDescent="0.2">
      <c r="B47" s="123" t="s">
        <v>156</v>
      </c>
      <c r="C47" s="123">
        <v>-0.60199999999999998</v>
      </c>
      <c r="D47" s="123">
        <v>-0.53</v>
      </c>
      <c r="E47" s="123">
        <v>-2.3E-2</v>
      </c>
      <c r="F47" s="123">
        <v>-0.182</v>
      </c>
      <c r="G47" s="124">
        <v>0.82299999999999995</v>
      </c>
      <c r="H47" s="123">
        <v>0.75900000000000001</v>
      </c>
      <c r="I47" s="124">
        <v>0.90700000000000003</v>
      </c>
      <c r="J47" s="124">
        <v>0.91500000000000004</v>
      </c>
      <c r="K47" s="123">
        <v>-0.42399999999999999</v>
      </c>
      <c r="L47" s="123">
        <v>-0.25700000000000001</v>
      </c>
      <c r="M47" s="123">
        <v>-0.123</v>
      </c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</row>
    <row r="48" spans="2:32" x14ac:dyDescent="0.2">
      <c r="B48" s="123"/>
      <c r="C48" s="123">
        <v>0.05</v>
      </c>
      <c r="D48" s="123">
        <v>9.4E-2</v>
      </c>
      <c r="E48" s="123">
        <v>0.94499999999999995</v>
      </c>
      <c r="F48" s="123">
        <v>0.59299999999999997</v>
      </c>
      <c r="G48" s="124">
        <v>2E-3</v>
      </c>
      <c r="H48" s="123">
        <v>7.0000000000000001E-3</v>
      </c>
      <c r="I48" s="124">
        <v>0</v>
      </c>
      <c r="J48" s="124">
        <v>0</v>
      </c>
      <c r="K48" s="123">
        <v>0.19400000000000001</v>
      </c>
      <c r="L48" s="123">
        <v>0.44500000000000001</v>
      </c>
      <c r="M48" s="123">
        <v>0.71899999999999997</v>
      </c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F48" s="79"/>
    </row>
    <row r="49" spans="2:27" x14ac:dyDescent="0.2"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2:27" x14ac:dyDescent="0.2">
      <c r="B50" s="123" t="s">
        <v>157</v>
      </c>
      <c r="C50" s="123">
        <v>-0.43099999999999999</v>
      </c>
      <c r="D50" s="123">
        <v>-0.13500000000000001</v>
      </c>
      <c r="E50" s="123">
        <v>-0.107</v>
      </c>
      <c r="F50" s="123">
        <v>-4.3999999999999997E-2</v>
      </c>
      <c r="G50" s="123">
        <v>0.34599999999999997</v>
      </c>
      <c r="H50" s="123">
        <v>0.48599999999999999</v>
      </c>
      <c r="I50" s="123">
        <v>0.48099999999999998</v>
      </c>
      <c r="J50" s="123">
        <v>0.57299999999999995</v>
      </c>
      <c r="K50" s="123">
        <v>-0.224</v>
      </c>
      <c r="L50" s="123">
        <v>-0.21199999999999999</v>
      </c>
      <c r="M50" s="123">
        <v>-0.156</v>
      </c>
      <c r="N50" s="123">
        <v>0.48</v>
      </c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2:27" x14ac:dyDescent="0.2">
      <c r="B51" s="123"/>
      <c r="C51" s="123">
        <v>0.186</v>
      </c>
      <c r="D51" s="123">
        <v>0.69199999999999995</v>
      </c>
      <c r="E51" s="123">
        <v>0.755</v>
      </c>
      <c r="F51" s="123">
        <v>0.89900000000000002</v>
      </c>
      <c r="G51" s="123">
        <v>0.29699999999999999</v>
      </c>
      <c r="H51" s="123">
        <v>0.13</v>
      </c>
      <c r="I51" s="123">
        <v>0.13400000000000001</v>
      </c>
      <c r="J51" s="123">
        <v>6.5000000000000002E-2</v>
      </c>
      <c r="K51" s="123">
        <v>0.50900000000000001</v>
      </c>
      <c r="L51" s="123">
        <v>0.53200000000000003</v>
      </c>
      <c r="M51" s="123">
        <v>0.64600000000000002</v>
      </c>
      <c r="N51" s="123">
        <v>0.13500000000000001</v>
      </c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2:27" x14ac:dyDescent="0.2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2:27" x14ac:dyDescent="0.2">
      <c r="B53" s="123" t="s">
        <v>158</v>
      </c>
      <c r="C53" s="123">
        <v>-0.60199999999999998</v>
      </c>
      <c r="D53" s="123">
        <v>-0.51200000000000001</v>
      </c>
      <c r="E53" s="123">
        <v>-0.124</v>
      </c>
      <c r="F53" s="123">
        <v>-6.3E-2</v>
      </c>
      <c r="G53" s="123">
        <v>0.747</v>
      </c>
      <c r="H53" s="123">
        <v>0.68600000000000005</v>
      </c>
      <c r="I53" s="124">
        <v>0.97299999999999998</v>
      </c>
      <c r="J53" s="124">
        <v>0.89400000000000002</v>
      </c>
      <c r="K53" s="123">
        <v>-0.41199999999999998</v>
      </c>
      <c r="L53" s="123">
        <v>-0.32700000000000001</v>
      </c>
      <c r="M53" s="123">
        <v>-0.25800000000000001</v>
      </c>
      <c r="N53" s="124">
        <v>0.90800000000000003</v>
      </c>
      <c r="O53" s="123">
        <v>0.55000000000000004</v>
      </c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2:27" x14ac:dyDescent="0.2">
      <c r="B54" s="123"/>
      <c r="C54" s="123">
        <v>0.05</v>
      </c>
      <c r="D54" s="123">
        <v>0.108</v>
      </c>
      <c r="E54" s="123">
        <v>0.71599999999999997</v>
      </c>
      <c r="F54" s="123">
        <v>0.85499999999999998</v>
      </c>
      <c r="G54" s="123">
        <v>8.0000000000000002E-3</v>
      </c>
      <c r="H54" s="123">
        <v>0.02</v>
      </c>
      <c r="I54" s="124">
        <v>0</v>
      </c>
      <c r="J54" s="124">
        <v>0</v>
      </c>
      <c r="K54" s="123">
        <v>0.20799999999999999</v>
      </c>
      <c r="L54" s="123">
        <v>0.32700000000000001</v>
      </c>
      <c r="M54" s="123">
        <v>0.44400000000000001</v>
      </c>
      <c r="N54" s="124">
        <v>0</v>
      </c>
      <c r="O54" s="123">
        <v>7.9000000000000001E-2</v>
      </c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2:27" x14ac:dyDescent="0.2"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2:27" x14ac:dyDescent="0.2">
      <c r="B56" s="123" t="s">
        <v>72</v>
      </c>
      <c r="C56" s="123">
        <v>-0.503</v>
      </c>
      <c r="D56" s="123">
        <v>-0.183</v>
      </c>
      <c r="E56" s="123">
        <v>-0.28899999999999998</v>
      </c>
      <c r="F56" s="123">
        <v>-6.5000000000000002E-2</v>
      </c>
      <c r="G56" s="123">
        <v>0.58499999999999996</v>
      </c>
      <c r="H56" s="123">
        <v>0.69699999999999995</v>
      </c>
      <c r="I56" s="123">
        <v>0.7</v>
      </c>
      <c r="J56" s="124">
        <v>0.81699999999999995</v>
      </c>
      <c r="K56" s="123">
        <v>-0.28399999999999997</v>
      </c>
      <c r="L56" s="123">
        <v>-0.14299999999999999</v>
      </c>
      <c r="M56" s="123">
        <v>-6.2E-2</v>
      </c>
      <c r="N56" s="123">
        <v>0.70699999999999996</v>
      </c>
      <c r="O56" s="124">
        <v>0.91100000000000003</v>
      </c>
      <c r="P56" s="123">
        <v>0.73799999999999999</v>
      </c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2:27" x14ac:dyDescent="0.2">
      <c r="B57" s="123"/>
      <c r="C57" s="123">
        <v>0.115</v>
      </c>
      <c r="D57" s="123">
        <v>0.59</v>
      </c>
      <c r="E57" s="123">
        <v>0.38900000000000001</v>
      </c>
      <c r="F57" s="123">
        <v>0.84899999999999998</v>
      </c>
      <c r="G57" s="123">
        <v>5.8999999999999997E-2</v>
      </c>
      <c r="H57" s="123">
        <v>1.7000000000000001E-2</v>
      </c>
      <c r="I57" s="123">
        <v>1.7000000000000001E-2</v>
      </c>
      <c r="J57" s="124">
        <v>2E-3</v>
      </c>
      <c r="K57" s="123">
        <v>0.39800000000000002</v>
      </c>
      <c r="L57" s="123">
        <v>0.67500000000000004</v>
      </c>
      <c r="M57" s="123">
        <v>0.85599999999999998</v>
      </c>
      <c r="N57" s="123">
        <v>1.4999999999999999E-2</v>
      </c>
      <c r="O57" s="124">
        <v>0</v>
      </c>
      <c r="P57" s="123">
        <v>0.01</v>
      </c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2:27" x14ac:dyDescent="0.2"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2:27" x14ac:dyDescent="0.2">
      <c r="B59" s="123" t="s">
        <v>34</v>
      </c>
      <c r="C59" s="123">
        <v>-0.17</v>
      </c>
      <c r="D59" s="123">
        <v>0.17199999999999999</v>
      </c>
      <c r="E59" s="123">
        <v>-0.41499999999999998</v>
      </c>
      <c r="F59" s="123">
        <v>2.7E-2</v>
      </c>
      <c r="G59" s="123">
        <v>0.54900000000000004</v>
      </c>
      <c r="H59" s="123">
        <v>0.62</v>
      </c>
      <c r="I59" s="123">
        <v>0.26</v>
      </c>
      <c r="J59" s="123">
        <v>0.45700000000000002</v>
      </c>
      <c r="K59" s="123">
        <v>-5.7000000000000002E-2</v>
      </c>
      <c r="L59" s="123">
        <v>0.22900000000000001</v>
      </c>
      <c r="M59" s="123">
        <v>0.25800000000000001</v>
      </c>
      <c r="N59" s="123">
        <v>0.33600000000000002</v>
      </c>
      <c r="O59" s="123">
        <v>6.7000000000000004E-2</v>
      </c>
      <c r="P59" s="123">
        <v>0.13400000000000001</v>
      </c>
      <c r="Q59" s="123">
        <v>0.30199999999999999</v>
      </c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2:27" x14ac:dyDescent="0.2">
      <c r="B60" s="123"/>
      <c r="C60" s="123">
        <v>0.61699999999999999</v>
      </c>
      <c r="D60" s="123">
        <v>0.61299999999999999</v>
      </c>
      <c r="E60" s="123">
        <v>0.20399999999999999</v>
      </c>
      <c r="F60" s="123">
        <v>0.93700000000000006</v>
      </c>
      <c r="G60" s="123">
        <v>0.08</v>
      </c>
      <c r="H60" s="123">
        <v>4.2000000000000003E-2</v>
      </c>
      <c r="I60" s="123">
        <v>0.44</v>
      </c>
      <c r="J60" s="123">
        <v>0.157</v>
      </c>
      <c r="K60" s="123">
        <v>0.86799999999999999</v>
      </c>
      <c r="L60" s="123">
        <v>0.498</v>
      </c>
      <c r="M60" s="123">
        <v>0.44400000000000001</v>
      </c>
      <c r="N60" s="123">
        <v>0.313</v>
      </c>
      <c r="O60" s="123">
        <v>0.84499999999999997</v>
      </c>
      <c r="P60" s="123">
        <v>0.69399999999999995</v>
      </c>
      <c r="Q60" s="123">
        <v>0.36699999999999999</v>
      </c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  <row r="61" spans="2:27" x14ac:dyDescent="0.2"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</row>
    <row r="62" spans="2:27" x14ac:dyDescent="0.2">
      <c r="B62" s="123" t="s">
        <v>148</v>
      </c>
      <c r="C62" s="123">
        <v>-9.6000000000000002E-2</v>
      </c>
      <c r="D62" s="123">
        <v>0.10100000000000001</v>
      </c>
      <c r="E62" s="123">
        <v>-0.35</v>
      </c>
      <c r="F62" s="123">
        <v>-9.7000000000000003E-2</v>
      </c>
      <c r="G62" s="123">
        <v>0.53700000000000003</v>
      </c>
      <c r="H62" s="123">
        <v>0.60099999999999998</v>
      </c>
      <c r="I62" s="123">
        <v>0.26200000000000001</v>
      </c>
      <c r="J62" s="123">
        <v>0.45800000000000002</v>
      </c>
      <c r="K62" s="123">
        <v>-0.128</v>
      </c>
      <c r="L62" s="123">
        <v>0.20100000000000001</v>
      </c>
      <c r="M62" s="123">
        <v>0.23699999999999999</v>
      </c>
      <c r="N62" s="123">
        <v>0.39100000000000001</v>
      </c>
      <c r="O62" s="123">
        <v>5.5E-2</v>
      </c>
      <c r="P62" s="123">
        <v>0.15</v>
      </c>
      <c r="Q62" s="123">
        <v>0.30199999999999999</v>
      </c>
      <c r="R62" s="124">
        <v>0.97399999999999998</v>
      </c>
      <c r="S62" s="123"/>
      <c r="T62" s="123"/>
      <c r="U62" s="123"/>
      <c r="V62" s="123"/>
      <c r="W62" s="123"/>
      <c r="X62" s="123"/>
      <c r="Y62" s="123"/>
      <c r="Z62" s="123"/>
      <c r="AA62" s="123"/>
    </row>
    <row r="63" spans="2:27" x14ac:dyDescent="0.2">
      <c r="B63" s="123"/>
      <c r="C63" s="123">
        <v>0.78</v>
      </c>
      <c r="D63" s="123">
        <v>0.76700000000000002</v>
      </c>
      <c r="E63" s="123">
        <v>0.29199999999999998</v>
      </c>
      <c r="F63" s="123">
        <v>0.77700000000000002</v>
      </c>
      <c r="G63" s="123">
        <v>8.7999999999999995E-2</v>
      </c>
      <c r="H63" s="123">
        <v>0.05</v>
      </c>
      <c r="I63" s="123">
        <v>0.436</v>
      </c>
      <c r="J63" s="123">
        <v>0.156</v>
      </c>
      <c r="K63" s="123">
        <v>0.70799999999999996</v>
      </c>
      <c r="L63" s="123">
        <v>0.55400000000000005</v>
      </c>
      <c r="M63" s="123">
        <v>0.48199999999999998</v>
      </c>
      <c r="N63" s="123">
        <v>0.23400000000000001</v>
      </c>
      <c r="O63" s="123">
        <v>0.873</v>
      </c>
      <c r="P63" s="123">
        <v>0.66</v>
      </c>
      <c r="Q63" s="123">
        <v>0.36699999999999999</v>
      </c>
      <c r="R63" s="124">
        <v>0</v>
      </c>
      <c r="S63" s="123"/>
      <c r="T63" s="123"/>
      <c r="U63" s="123"/>
      <c r="V63" s="123"/>
      <c r="W63" s="123"/>
      <c r="X63" s="123"/>
      <c r="Y63" s="123"/>
      <c r="Z63" s="123"/>
      <c r="AA63" s="123"/>
    </row>
    <row r="64" spans="2:27" x14ac:dyDescent="0.2">
      <c r="B64" s="79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</row>
    <row r="65" spans="2:27" x14ac:dyDescent="0.2">
      <c r="B65" s="79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4"/>
      <c r="O65" s="124"/>
      <c r="P65" s="123"/>
      <c r="Q65" s="123"/>
      <c r="R65" s="123"/>
      <c r="S65" s="124"/>
      <c r="T65" s="123"/>
      <c r="U65" s="123"/>
      <c r="V65" s="123"/>
      <c r="W65" s="123"/>
      <c r="X65" s="123"/>
      <c r="Y65" s="123"/>
      <c r="Z65" s="123"/>
      <c r="AA65" s="123"/>
    </row>
    <row r="66" spans="2:27" x14ac:dyDescent="0.2">
      <c r="B66" s="79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4"/>
      <c r="O66" s="124"/>
      <c r="P66" s="123"/>
      <c r="Q66" s="123"/>
      <c r="R66" s="123"/>
      <c r="S66" s="124"/>
      <c r="T66" s="123"/>
      <c r="U66" s="123"/>
      <c r="V66" s="123"/>
      <c r="W66" s="123"/>
      <c r="X66" s="123"/>
      <c r="Y66" s="123"/>
      <c r="Z66" s="123"/>
      <c r="AA66" s="123"/>
    </row>
    <row r="67" spans="2:27" x14ac:dyDescent="0.2">
      <c r="B67" s="79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</row>
    <row r="68" spans="2:27" x14ac:dyDescent="0.2">
      <c r="B68" s="79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4"/>
      <c r="O68" s="124"/>
      <c r="P68" s="123"/>
      <c r="Q68" s="123"/>
      <c r="R68" s="123"/>
      <c r="S68" s="124"/>
      <c r="T68" s="124"/>
      <c r="U68" s="123"/>
      <c r="V68" s="123"/>
      <c r="W68" s="123"/>
      <c r="X68" s="123"/>
      <c r="Y68" s="123"/>
      <c r="Z68" s="123"/>
      <c r="AA68" s="123"/>
    </row>
    <row r="69" spans="2:27" x14ac:dyDescent="0.2">
      <c r="B69" s="79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4"/>
      <c r="O69" s="124"/>
      <c r="P69" s="123"/>
      <c r="Q69" s="123"/>
      <c r="R69" s="123"/>
      <c r="S69" s="124"/>
      <c r="T69" s="124"/>
      <c r="U69" s="123"/>
      <c r="V69" s="123"/>
      <c r="W69" s="123"/>
      <c r="X69" s="123"/>
      <c r="Y69" s="123"/>
      <c r="Z69" s="123"/>
      <c r="AA69" s="123"/>
    </row>
    <row r="70" spans="2:27" x14ac:dyDescent="0.2">
      <c r="B70" s="79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</row>
    <row r="71" spans="2:27" x14ac:dyDescent="0.2">
      <c r="B71" s="79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4"/>
      <c r="O71" s="124"/>
      <c r="P71" s="123"/>
      <c r="Q71" s="124"/>
      <c r="R71" s="123"/>
      <c r="S71" s="124"/>
      <c r="T71" s="124"/>
      <c r="U71" s="124"/>
      <c r="V71" s="123"/>
      <c r="W71" s="123"/>
      <c r="X71" s="123"/>
      <c r="Y71" s="123"/>
      <c r="Z71" s="123"/>
      <c r="AA71" s="123"/>
    </row>
    <row r="72" spans="2:27" x14ac:dyDescent="0.2">
      <c r="B72" s="79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4"/>
      <c r="O72" s="124"/>
      <c r="P72" s="123"/>
      <c r="Q72" s="124"/>
      <c r="R72" s="123"/>
      <c r="S72" s="124"/>
      <c r="T72" s="124"/>
      <c r="U72" s="124"/>
      <c r="V72" s="123"/>
      <c r="W72" s="123"/>
      <c r="X72" s="123"/>
      <c r="Y72" s="123"/>
      <c r="Z72" s="123"/>
      <c r="AA72" s="123"/>
    </row>
    <row r="73" spans="2:27" x14ac:dyDescent="0.2">
      <c r="B73" s="79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</row>
    <row r="74" spans="2:27" x14ac:dyDescent="0.2">
      <c r="B74" s="79"/>
      <c r="C74" s="123"/>
      <c r="D74" s="123"/>
      <c r="E74" s="123"/>
      <c r="F74" s="123"/>
      <c r="G74" s="123"/>
      <c r="H74" s="123"/>
      <c r="I74" s="123"/>
      <c r="J74" s="124"/>
      <c r="K74" s="124"/>
      <c r="L74" s="124"/>
      <c r="M74" s="124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</row>
    <row r="75" spans="2:27" x14ac:dyDescent="0.2">
      <c r="B75" s="79"/>
      <c r="C75" s="123"/>
      <c r="D75" s="123"/>
      <c r="E75" s="123"/>
      <c r="F75" s="123"/>
      <c r="G75" s="123"/>
      <c r="H75" s="123"/>
      <c r="I75" s="123"/>
      <c r="J75" s="124"/>
      <c r="K75" s="124"/>
      <c r="L75" s="124"/>
      <c r="M75" s="124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</row>
    <row r="76" spans="2:27" x14ac:dyDescent="0.2">
      <c r="B76" s="79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</row>
    <row r="77" spans="2:27" x14ac:dyDescent="0.2">
      <c r="B77" s="79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</row>
    <row r="78" spans="2:27" x14ac:dyDescent="0.2">
      <c r="B78" s="79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</row>
    <row r="79" spans="2:27" x14ac:dyDescent="0.2">
      <c r="B79" s="79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</row>
    <row r="80" spans="2:27" x14ac:dyDescent="0.2">
      <c r="B80" s="79"/>
      <c r="C80" s="123"/>
      <c r="D80" s="123"/>
      <c r="E80" s="124"/>
      <c r="F80" s="123"/>
      <c r="G80" s="123"/>
      <c r="H80" s="123"/>
      <c r="I80" s="123"/>
      <c r="J80" s="124"/>
      <c r="K80" s="123"/>
      <c r="L80" s="124"/>
      <c r="M80" s="124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</row>
    <row r="81" spans="2:27" x14ac:dyDescent="0.2">
      <c r="B81" s="79"/>
      <c r="C81" s="123"/>
      <c r="D81" s="123"/>
      <c r="E81" s="124"/>
      <c r="F81" s="123"/>
      <c r="G81" s="123"/>
      <c r="H81" s="123"/>
      <c r="I81" s="123"/>
      <c r="J81" s="124"/>
      <c r="K81" s="123"/>
      <c r="L81" s="124"/>
      <c r="M81" s="124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</row>
    <row r="82" spans="2:27" x14ac:dyDescent="0.2">
      <c r="B82" s="79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</row>
    <row r="83" spans="2:27" x14ac:dyDescent="0.2">
      <c r="B83" s="79"/>
      <c r="C83" s="123"/>
      <c r="D83" s="123"/>
      <c r="E83" s="123"/>
      <c r="F83" s="123"/>
      <c r="G83" s="123"/>
      <c r="H83" s="123"/>
      <c r="I83" s="123"/>
      <c r="J83" s="123"/>
      <c r="K83" s="123"/>
      <c r="L83" s="124"/>
      <c r="M83" s="124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4"/>
      <c r="Y83" s="124"/>
      <c r="Z83" s="123"/>
      <c r="AA83" s="123"/>
    </row>
    <row r="84" spans="2:27" x14ac:dyDescent="0.2">
      <c r="B84" s="79"/>
      <c r="C84" s="123"/>
      <c r="D84" s="123"/>
      <c r="E84" s="123"/>
      <c r="F84" s="123"/>
      <c r="G84" s="123"/>
      <c r="H84" s="123"/>
      <c r="I84" s="123"/>
      <c r="J84" s="123"/>
      <c r="K84" s="123"/>
      <c r="L84" s="124"/>
      <c r="M84" s="124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4"/>
      <c r="Y84" s="124"/>
      <c r="Z84" s="123"/>
      <c r="AA84" s="123"/>
    </row>
    <row r="85" spans="2:27" x14ac:dyDescent="0.2">
      <c r="B85" s="79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</row>
    <row r="86" spans="2:27" x14ac:dyDescent="0.2">
      <c r="B86" s="79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</row>
    <row r="87" spans="2:27" x14ac:dyDescent="0.2">
      <c r="B87" s="79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</row>
    <row r="88" spans="2:27" x14ac:dyDescent="0.2">
      <c r="B88" s="79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</row>
    <row r="89" spans="2:27" x14ac:dyDescent="0.2">
      <c r="B89" s="79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4"/>
      <c r="S89" s="123"/>
      <c r="T89" s="123"/>
      <c r="U89" s="123"/>
      <c r="V89" s="123"/>
      <c r="W89" s="123"/>
      <c r="X89" s="123"/>
      <c r="Y89" s="123"/>
      <c r="Z89" s="123"/>
      <c r="AA89" s="124"/>
    </row>
    <row r="90" spans="2:27" x14ac:dyDescent="0.2">
      <c r="B90" s="79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4"/>
      <c r="S90" s="123"/>
      <c r="T90" s="123"/>
      <c r="U90" s="123"/>
      <c r="V90" s="123"/>
      <c r="W90" s="123"/>
      <c r="X90" s="123"/>
      <c r="Y90" s="123"/>
      <c r="Z90" s="123"/>
      <c r="AA90" s="124"/>
    </row>
    <row r="97" spans="3:28" ht="15" x14ac:dyDescent="0.25">
      <c r="C97" s="125"/>
      <c r="D97" s="126"/>
      <c r="E97" s="127"/>
      <c r="F97" s="127"/>
      <c r="G97" s="128"/>
      <c r="H97" s="128"/>
      <c r="I97" s="125"/>
      <c r="J97" s="125"/>
      <c r="K97" s="125"/>
      <c r="L97" s="125"/>
      <c r="M97" s="125"/>
      <c r="N97" s="125"/>
      <c r="O97" s="125"/>
      <c r="P97" s="125"/>
      <c r="Q97" s="128"/>
      <c r="R97" s="128"/>
      <c r="S97" s="128"/>
      <c r="T97" s="128"/>
      <c r="U97" s="128"/>
      <c r="V97" s="128"/>
      <c r="W97" s="125"/>
      <c r="X97" s="125"/>
      <c r="Y97" s="125"/>
      <c r="Z97" s="128"/>
      <c r="AA97" s="125"/>
      <c r="AB97" s="127"/>
    </row>
    <row r="98" spans="3:28" x14ac:dyDescent="0.2">
      <c r="G98" s="79"/>
      <c r="H98" s="79"/>
      <c r="I98" s="79"/>
    </row>
    <row r="99" spans="3:28" ht="15" x14ac:dyDescent="0.25">
      <c r="C99" s="125"/>
      <c r="D99" s="129"/>
      <c r="E99" s="129"/>
      <c r="F99" s="129"/>
      <c r="G99" s="129"/>
      <c r="H99" s="129"/>
      <c r="I99" s="129"/>
    </row>
    <row r="100" spans="3:28" ht="15" x14ac:dyDescent="0.25">
      <c r="C100" s="126"/>
      <c r="D100" s="129"/>
      <c r="E100" s="129"/>
      <c r="F100" s="129"/>
      <c r="G100" s="129"/>
      <c r="H100" s="129"/>
      <c r="I100" s="129"/>
    </row>
    <row r="101" spans="3:28" ht="15" x14ac:dyDescent="0.25">
      <c r="C101" s="127"/>
      <c r="D101" s="129"/>
      <c r="E101" s="129"/>
      <c r="F101" s="129"/>
      <c r="G101" s="129"/>
      <c r="H101" s="129"/>
      <c r="I101" s="129"/>
    </row>
    <row r="102" spans="3:28" ht="15" x14ac:dyDescent="0.25">
      <c r="C102" s="127"/>
      <c r="D102" s="129"/>
      <c r="E102" s="129"/>
      <c r="F102" s="129"/>
      <c r="G102" s="129"/>
      <c r="H102" s="129"/>
      <c r="I102" s="129"/>
    </row>
    <row r="103" spans="3:28" ht="15" x14ac:dyDescent="0.25">
      <c r="C103" s="128"/>
      <c r="D103" s="129"/>
      <c r="E103" s="129"/>
      <c r="F103" s="129"/>
      <c r="G103" s="129"/>
      <c r="H103" s="129"/>
      <c r="I103" s="129"/>
    </row>
    <row r="104" spans="3:28" ht="15" x14ac:dyDescent="0.25">
      <c r="C104" s="128"/>
      <c r="D104" s="129"/>
      <c r="E104" s="129"/>
      <c r="F104" s="129"/>
      <c r="G104" s="129"/>
      <c r="H104" s="129"/>
      <c r="I104" s="129"/>
    </row>
    <row r="105" spans="3:28" ht="15" x14ac:dyDescent="0.25">
      <c r="C105" s="125"/>
      <c r="D105" s="129"/>
      <c r="E105" s="129"/>
      <c r="F105" s="129"/>
      <c r="G105" s="129"/>
      <c r="H105" s="129"/>
      <c r="I105" s="129"/>
    </row>
    <row r="106" spans="3:28" ht="15" x14ac:dyDescent="0.25">
      <c r="C106" s="125"/>
      <c r="D106" s="129"/>
      <c r="E106" s="129"/>
      <c r="F106" s="129"/>
      <c r="G106" s="129"/>
      <c r="H106" s="129"/>
      <c r="I106" s="129"/>
    </row>
    <row r="107" spans="3:28" ht="15" x14ac:dyDescent="0.25">
      <c r="C107" s="125"/>
      <c r="D107" s="129"/>
      <c r="E107" s="129"/>
      <c r="F107" s="129"/>
      <c r="G107" s="129"/>
      <c r="H107" s="129"/>
      <c r="I107" s="129"/>
    </row>
    <row r="108" spans="3:28" ht="15" x14ac:dyDescent="0.25">
      <c r="C108" s="125"/>
      <c r="D108" s="129"/>
      <c r="E108" s="129"/>
      <c r="F108" s="129"/>
      <c r="G108" s="129"/>
      <c r="H108" s="129"/>
      <c r="I108" s="129"/>
    </row>
    <row r="109" spans="3:28" ht="15" x14ac:dyDescent="0.25">
      <c r="C109" s="125"/>
      <c r="D109" s="129"/>
      <c r="E109" s="129"/>
      <c r="F109" s="129"/>
      <c r="G109" s="129"/>
      <c r="H109" s="129"/>
      <c r="I109" s="129"/>
    </row>
    <row r="110" spans="3:28" ht="15" x14ac:dyDescent="0.25">
      <c r="C110" s="125"/>
      <c r="D110" s="129"/>
      <c r="E110" s="129"/>
      <c r="F110" s="129"/>
      <c r="G110" s="129"/>
      <c r="H110" s="129"/>
      <c r="I110" s="129"/>
    </row>
    <row r="111" spans="3:28" ht="15" x14ac:dyDescent="0.25">
      <c r="C111" s="125"/>
      <c r="D111" s="129"/>
      <c r="E111" s="129"/>
      <c r="F111" s="129"/>
      <c r="G111" s="129"/>
      <c r="H111" s="129"/>
      <c r="I111" s="129"/>
    </row>
    <row r="112" spans="3:28" ht="15" x14ac:dyDescent="0.25">
      <c r="C112" s="125"/>
      <c r="D112" s="129"/>
      <c r="E112" s="129"/>
      <c r="F112" s="129"/>
      <c r="G112" s="129"/>
      <c r="H112" s="129"/>
      <c r="I112" s="129"/>
    </row>
    <row r="113" spans="3:9" ht="15" x14ac:dyDescent="0.25">
      <c r="C113" s="128"/>
      <c r="D113" s="129"/>
      <c r="E113" s="129"/>
      <c r="F113" s="129"/>
      <c r="G113" s="129"/>
      <c r="H113" s="129"/>
      <c r="I113" s="129"/>
    </row>
    <row r="114" spans="3:9" ht="15" x14ac:dyDescent="0.25">
      <c r="C114" s="128"/>
      <c r="D114" s="129"/>
      <c r="E114" s="129"/>
      <c r="F114" s="129"/>
      <c r="G114" s="129"/>
      <c r="H114" s="129"/>
      <c r="I114" s="129"/>
    </row>
    <row r="115" spans="3:9" ht="15" x14ac:dyDescent="0.25">
      <c r="C115" s="128"/>
      <c r="D115" s="129"/>
      <c r="E115" s="129"/>
      <c r="F115" s="129"/>
      <c r="G115" s="129"/>
      <c r="H115" s="129"/>
      <c r="I115" s="129"/>
    </row>
    <row r="116" spans="3:9" ht="15" x14ac:dyDescent="0.25">
      <c r="C116" s="128"/>
      <c r="D116" s="129"/>
      <c r="E116" s="129"/>
      <c r="F116" s="129"/>
      <c r="G116" s="129"/>
      <c r="H116" s="129"/>
      <c r="I116" s="129"/>
    </row>
    <row r="117" spans="3:9" ht="15" x14ac:dyDescent="0.25">
      <c r="C117" s="128"/>
      <c r="D117" s="129"/>
      <c r="E117" s="129"/>
      <c r="F117" s="129"/>
      <c r="G117" s="129"/>
      <c r="H117" s="129"/>
      <c r="I117" s="129"/>
    </row>
    <row r="118" spans="3:9" ht="15" x14ac:dyDescent="0.25">
      <c r="C118" s="128"/>
      <c r="D118" s="129"/>
      <c r="E118" s="129"/>
      <c r="F118" s="129"/>
      <c r="G118" s="129"/>
      <c r="H118" s="129"/>
      <c r="I118" s="129"/>
    </row>
    <row r="119" spans="3:9" ht="15" x14ac:dyDescent="0.25">
      <c r="C119" s="125"/>
      <c r="D119" s="129"/>
      <c r="E119" s="129"/>
      <c r="F119" s="129"/>
      <c r="G119" s="129"/>
      <c r="H119" s="129"/>
      <c r="I119" s="129"/>
    </row>
    <row r="120" spans="3:9" ht="15" x14ac:dyDescent="0.25">
      <c r="C120" s="125"/>
      <c r="D120" s="129"/>
      <c r="E120" s="129"/>
      <c r="F120" s="129"/>
      <c r="G120" s="129"/>
      <c r="H120" s="129"/>
      <c r="I120" s="129"/>
    </row>
    <row r="121" spans="3:9" ht="15" x14ac:dyDescent="0.25">
      <c r="C121" s="125"/>
      <c r="D121" s="129"/>
      <c r="E121" s="129"/>
      <c r="F121" s="129"/>
      <c r="G121" s="129"/>
      <c r="H121" s="129"/>
      <c r="I121" s="129"/>
    </row>
    <row r="122" spans="3:9" ht="15" x14ac:dyDescent="0.25">
      <c r="C122" s="128"/>
      <c r="D122" s="129"/>
      <c r="E122" s="129"/>
      <c r="F122" s="129"/>
      <c r="G122" s="129"/>
      <c r="H122" s="129"/>
      <c r="I122" s="129"/>
    </row>
    <row r="123" spans="3:9" ht="15" x14ac:dyDescent="0.25">
      <c r="C123" s="125"/>
      <c r="D123" s="129"/>
      <c r="E123" s="129"/>
      <c r="F123" s="129"/>
      <c r="G123" s="129"/>
      <c r="H123" s="129"/>
      <c r="I123" s="129"/>
    </row>
    <row r="124" spans="3:9" ht="15" x14ac:dyDescent="0.25">
      <c r="C124" s="127"/>
      <c r="D124" s="129"/>
      <c r="E124" s="129"/>
      <c r="F124" s="129"/>
      <c r="G124" s="129"/>
      <c r="H124" s="129"/>
      <c r="I124" s="129"/>
    </row>
    <row r="125" spans="3:9" ht="15" x14ac:dyDescent="0.25">
      <c r="D125" s="129"/>
      <c r="E125" s="129"/>
      <c r="F125" s="129"/>
      <c r="G125" s="129"/>
      <c r="H125" s="129"/>
      <c r="I125" s="129"/>
    </row>
    <row r="126" spans="3:9" ht="15" x14ac:dyDescent="0.25">
      <c r="D126" s="129"/>
      <c r="E126" s="129"/>
      <c r="F126" s="129"/>
      <c r="G126" s="129"/>
      <c r="H126" s="129"/>
      <c r="I126" s="129"/>
    </row>
    <row r="127" spans="3:9" ht="15" x14ac:dyDescent="0.25">
      <c r="D127" s="129"/>
      <c r="E127" s="129"/>
      <c r="F127" s="129"/>
      <c r="G127" s="129"/>
      <c r="H127" s="129"/>
      <c r="I127" s="129"/>
    </row>
    <row r="128" spans="3:9" ht="15" x14ac:dyDescent="0.25">
      <c r="D128" s="129"/>
      <c r="E128" s="129"/>
      <c r="F128" s="129"/>
      <c r="G128" s="129"/>
      <c r="H128" s="129"/>
      <c r="I128" s="129"/>
    </row>
    <row r="129" spans="4:9" ht="15" x14ac:dyDescent="0.25">
      <c r="D129" s="129"/>
      <c r="E129" s="129"/>
      <c r="F129" s="129"/>
      <c r="G129" s="129"/>
      <c r="H129" s="129"/>
      <c r="I129" s="129"/>
    </row>
    <row r="130" spans="4:9" ht="15" x14ac:dyDescent="0.25">
      <c r="D130" s="129"/>
      <c r="E130" s="129"/>
      <c r="F130" s="129"/>
      <c r="G130" s="129"/>
      <c r="H130" s="129"/>
      <c r="I130" s="129"/>
    </row>
    <row r="131" spans="4:9" ht="15" x14ac:dyDescent="0.25">
      <c r="D131" s="129"/>
      <c r="E131" s="129"/>
      <c r="F131" s="129"/>
      <c r="G131" s="129"/>
      <c r="H131" s="129"/>
      <c r="I131" s="129"/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0" workbookViewId="0">
      <selection activeCell="N1" sqref="N1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data</vt:lpstr>
      <vt:lpstr>Statistics</vt:lpstr>
      <vt:lpstr>Comparison 2013 - 2014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David Vogt</dc:creator>
  <cp:lastModifiedBy>Rolf David Vogt</cp:lastModifiedBy>
  <cp:lastPrinted>2010-09-02T07:03:33Z</cp:lastPrinted>
  <dcterms:created xsi:type="dcterms:W3CDTF">2010-01-09T17:19:18Z</dcterms:created>
  <dcterms:modified xsi:type="dcterms:W3CDTF">2014-10-07T18:51:41Z</dcterms:modified>
</cp:coreProperties>
</file>