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ml.chartshapes+xml"/>
  <Override PartName="/xl/charts/chart6.xml" ContentType="application/vnd.openxmlformats-officedocument.drawingml.chart+xml"/>
  <Override PartName="/xl/drawings/drawing3.xml" ContentType="application/vnd.openxmlformats-officedocument.drawingml.chartshapes+xml"/>
  <Override PartName="/xl/charts/chart7.xml" ContentType="application/vnd.openxmlformats-officedocument.drawingml.chart+xml"/>
  <Override PartName="/xl/drawings/drawing4.xml" ContentType="application/vnd.openxmlformats-officedocument.drawingml.chartshapes+xml"/>
  <Override PartName="/xl/charts/chart8.xml" ContentType="application/vnd.openxmlformats-officedocument.drawingml.chart+xml"/>
  <Override PartName="/xl/drawings/drawing5.xml" ContentType="application/vnd.openxmlformats-officedocument.drawingml.chartshapes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charts/chart10.xml" ContentType="application/vnd.openxmlformats-officedocument.drawingml.chart+xml"/>
  <Override PartName="/xl/drawings/drawing7.xml" ContentType="application/vnd.openxmlformats-officedocument.drawingml.chartshapes+xml"/>
  <Override PartName="/xl/charts/chart11.xml" ContentType="application/vnd.openxmlformats-officedocument.drawingml.chart+xml"/>
  <Override PartName="/xl/drawings/drawing8.xml" ContentType="application/vnd.openxmlformats-officedocument.drawingml.chartshapes+xml"/>
  <Override PartName="/xl/charts/chart12.xml" ContentType="application/vnd.openxmlformats-officedocument.drawingml.chart+xml"/>
  <Override PartName="/xl/drawings/drawing9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0.xml" ContentType="application/vnd.openxmlformats-officedocument.drawingml.chartshapes+xml"/>
  <Override PartName="/xl/charts/chart25.xml" ContentType="application/vnd.openxmlformats-officedocument.drawingml.chart+xml"/>
  <Override PartName="/xl/drawings/drawing11.xml" ContentType="application/vnd.openxmlformats-officedocument.drawingml.chartshapes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2.xml" ContentType="application/vnd.openxmlformats-officedocument.drawing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charts/chart29.xml" ContentType="application/vnd.openxmlformats-officedocument.drawingml.chart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22260" windowHeight="12900" tabRatio="810"/>
  </bookViews>
  <sheets>
    <sheet name="All data" sheetId="1" r:id="rId1"/>
    <sheet name="Statistics" sheetId="30" r:id="rId2"/>
    <sheet name="IC major anions" sheetId="21" r:id="rId3"/>
    <sheet name="ICP-OES major cations" sheetId="23" r:id="rId4"/>
    <sheet name="ICP-MS trace metal" sheetId="22" r:id="rId5"/>
    <sheet name="PO4" sheetId="13" r:id="rId6"/>
    <sheet name="DOC" sheetId="25" r:id="rId7"/>
    <sheet name="Alkalinity" sheetId="24" r:id="rId8"/>
    <sheet name="Raw ICP-MS trace metal data" sheetId="26" r:id="rId9"/>
    <sheet name="206Pb" sheetId="29" r:id="rId10"/>
    <sheet name="207Pb" sheetId="28" r:id="rId11"/>
    <sheet name="208Pb" sheetId="27" r:id="rId12"/>
  </sheets>
  <definedNames>
    <definedName name="_131022_module_19" localSheetId="8">'Raw ICP-MS trace metal data'!$A$1:$K$954</definedName>
    <definedName name="_xlnm._FilterDatabase" localSheetId="9" hidden="1">'206Pb'!$A$1:$P$54</definedName>
    <definedName name="_xlnm._FilterDatabase" localSheetId="10" hidden="1">'207Pb'!$A$1:$P$54</definedName>
    <definedName name="_xlnm._FilterDatabase" localSheetId="11" hidden="1">'208Pb'!$A$1:$P$54</definedName>
    <definedName name="_xlnm._FilterDatabase" localSheetId="0" hidden="1">'All data'!$A$1:$BN$4</definedName>
    <definedName name="_xlnm._FilterDatabase" localSheetId="8" hidden="1">'Raw ICP-MS trace metal data'!$A$1:$M$954</definedName>
    <definedName name="_xlnm.Print_Area" localSheetId="0">'All data'!#REF!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7" i="1" l="1"/>
  <c r="AT7" i="1"/>
  <c r="BB7" i="1"/>
  <c r="BE7" i="1"/>
  <c r="BG7" i="1"/>
  <c r="BI7" i="1"/>
  <c r="BK7" i="1"/>
  <c r="BL7" i="1"/>
  <c r="BM7" i="1"/>
  <c r="BN7" i="1"/>
  <c r="BP7" i="1"/>
  <c r="BQ7" i="1"/>
  <c r="BR7" i="1"/>
  <c r="BS7" i="1"/>
  <c r="BT7" i="1"/>
  <c r="BU7" i="1"/>
  <c r="BV7" i="1"/>
  <c r="BW7" i="1"/>
  <c r="BX7" i="1"/>
  <c r="BY7" i="1"/>
  <c r="BZ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AR21" i="1"/>
  <c r="AS21" i="1"/>
  <c r="AT21" i="1"/>
  <c r="AU21" i="1"/>
  <c r="AV21" i="1"/>
  <c r="AW21" i="1"/>
  <c r="AX21" i="1"/>
  <c r="AY21" i="1"/>
  <c r="AZ21" i="1"/>
  <c r="AR22" i="1"/>
  <c r="AS22" i="1"/>
  <c r="AT22" i="1"/>
  <c r="AU22" i="1"/>
  <c r="AV22" i="1"/>
  <c r="AW22" i="1"/>
  <c r="AX22" i="1"/>
  <c r="AY22" i="1"/>
  <c r="AZ22" i="1"/>
  <c r="AR23" i="1"/>
  <c r="AS23" i="1"/>
  <c r="AT23" i="1"/>
  <c r="AU23" i="1"/>
  <c r="AV23" i="1"/>
  <c r="AW23" i="1"/>
  <c r="AX23" i="1"/>
  <c r="AY23" i="1"/>
  <c r="AZ23" i="1"/>
  <c r="AR24" i="1"/>
  <c r="AS24" i="1"/>
  <c r="AT24" i="1"/>
  <c r="AU24" i="1"/>
  <c r="AV24" i="1"/>
  <c r="AW24" i="1"/>
  <c r="AX24" i="1"/>
  <c r="AY24" i="1"/>
  <c r="AZ24" i="1"/>
  <c r="AR25" i="1"/>
  <c r="AS25" i="1"/>
  <c r="AT25" i="1"/>
  <c r="AU25" i="1"/>
  <c r="AV25" i="1"/>
  <c r="AW25" i="1"/>
  <c r="AX25" i="1"/>
  <c r="AY25" i="1"/>
  <c r="AZ25" i="1"/>
  <c r="AR26" i="1"/>
  <c r="AS26" i="1"/>
  <c r="AT26" i="1"/>
  <c r="AU26" i="1"/>
  <c r="AV26" i="1"/>
  <c r="AW26" i="1"/>
  <c r="AX26" i="1"/>
  <c r="AY26" i="1"/>
  <c r="AZ26" i="1"/>
  <c r="AR27" i="1"/>
  <c r="AS27" i="1"/>
  <c r="AT27" i="1"/>
  <c r="AU27" i="1"/>
  <c r="AV27" i="1"/>
  <c r="AW27" i="1"/>
  <c r="AX27" i="1"/>
  <c r="AY27" i="1"/>
  <c r="AZ27" i="1"/>
  <c r="AR28" i="1"/>
  <c r="AS28" i="1"/>
  <c r="AT28" i="1"/>
  <c r="AU28" i="1"/>
  <c r="AV28" i="1"/>
  <c r="AW28" i="1"/>
  <c r="AX28" i="1"/>
  <c r="AY28" i="1"/>
  <c r="AZ28" i="1"/>
  <c r="AR29" i="1"/>
  <c r="AS29" i="1"/>
  <c r="AT29" i="1"/>
  <c r="AU29" i="1"/>
  <c r="AV29" i="1"/>
  <c r="AW29" i="1"/>
  <c r="AX29" i="1"/>
  <c r="AY29" i="1"/>
  <c r="AZ29" i="1"/>
  <c r="AR30" i="1"/>
  <c r="AS30" i="1"/>
  <c r="AT30" i="1"/>
  <c r="AU30" i="1"/>
  <c r="AV30" i="1"/>
  <c r="AW30" i="1"/>
  <c r="AX30" i="1"/>
  <c r="AY30" i="1"/>
  <c r="AZ30" i="1"/>
  <c r="AS20" i="1"/>
  <c r="AT20" i="1"/>
  <c r="AU20" i="1"/>
  <c r="AV20" i="1"/>
  <c r="AW20" i="1"/>
  <c r="AX20" i="1"/>
  <c r="AY20" i="1"/>
  <c r="AZ20" i="1"/>
  <c r="Z37" i="1"/>
  <c r="AA37" i="1"/>
  <c r="AB37" i="1"/>
  <c r="Z38" i="1"/>
  <c r="AA38" i="1"/>
  <c r="AB38" i="1"/>
  <c r="Z39" i="1"/>
  <c r="AA39" i="1"/>
  <c r="AB39" i="1"/>
  <c r="Z40" i="1"/>
  <c r="AA40" i="1"/>
  <c r="AB40" i="1"/>
  <c r="Z41" i="1"/>
  <c r="AA41" i="1"/>
  <c r="AB41" i="1"/>
  <c r="Z42" i="1"/>
  <c r="AA42" i="1"/>
  <c r="AB42" i="1"/>
  <c r="Z43" i="1"/>
  <c r="AA43" i="1"/>
  <c r="AB43" i="1"/>
  <c r="Z44" i="1"/>
  <c r="AA44" i="1"/>
  <c r="AB44" i="1"/>
  <c r="Z45" i="1"/>
  <c r="AA45" i="1"/>
  <c r="AB45" i="1"/>
  <c r="Z46" i="1"/>
  <c r="AA46" i="1"/>
  <c r="AB46" i="1"/>
  <c r="AB36" i="1"/>
  <c r="AA36" i="1"/>
  <c r="Z36" i="1"/>
  <c r="AR20" i="1"/>
  <c r="BP4" i="1"/>
  <c r="BQ4" i="1"/>
  <c r="BR4" i="1"/>
  <c r="BS4" i="1"/>
  <c r="BT4" i="1"/>
  <c r="BU4" i="1"/>
  <c r="BV4" i="1"/>
  <c r="BW4" i="1"/>
  <c r="BX4" i="1"/>
  <c r="BY4" i="1"/>
  <c r="BZ4" i="1"/>
  <c r="CB4" i="1"/>
  <c r="BP5" i="1"/>
  <c r="BZ5" i="1"/>
  <c r="BP8" i="1"/>
  <c r="BZ8" i="1"/>
  <c r="BP9" i="1"/>
  <c r="BZ9" i="1"/>
  <c r="BP10" i="1"/>
  <c r="BZ10" i="1"/>
  <c r="BP11" i="1"/>
  <c r="BZ11" i="1"/>
  <c r="BP12" i="1"/>
  <c r="BZ12" i="1"/>
  <c r="BP13" i="1"/>
  <c r="BZ13" i="1"/>
  <c r="BP6" i="1"/>
  <c r="BZ6" i="1"/>
  <c r="BP14" i="1"/>
  <c r="BZ14" i="1"/>
  <c r="AT9" i="1"/>
  <c r="BQ5" i="1"/>
  <c r="BR5" i="1"/>
  <c r="BS5" i="1"/>
  <c r="BT5" i="1"/>
  <c r="BU5" i="1"/>
  <c r="BV5" i="1"/>
  <c r="BW5" i="1"/>
  <c r="BX5" i="1"/>
  <c r="BY5" i="1"/>
  <c r="CB5" i="1"/>
  <c r="CC5" i="1"/>
  <c r="BQ8" i="1"/>
  <c r="BR8" i="1"/>
  <c r="BS8" i="1"/>
  <c r="BT8" i="1"/>
  <c r="BU8" i="1"/>
  <c r="BV8" i="1"/>
  <c r="BW8" i="1"/>
  <c r="BX8" i="1"/>
  <c r="BY8" i="1"/>
  <c r="CB8" i="1"/>
  <c r="CC8" i="1"/>
  <c r="BQ9" i="1"/>
  <c r="BR9" i="1"/>
  <c r="BS9" i="1"/>
  <c r="BT9" i="1"/>
  <c r="BU9" i="1"/>
  <c r="BV9" i="1"/>
  <c r="BW9" i="1"/>
  <c r="BX9" i="1"/>
  <c r="BY9" i="1"/>
  <c r="CB9" i="1"/>
  <c r="CC9" i="1"/>
  <c r="BQ10" i="1"/>
  <c r="BR10" i="1"/>
  <c r="BS10" i="1"/>
  <c r="BT10" i="1"/>
  <c r="BU10" i="1"/>
  <c r="BV10" i="1"/>
  <c r="BW10" i="1"/>
  <c r="BX10" i="1"/>
  <c r="BY10" i="1"/>
  <c r="CB10" i="1"/>
  <c r="CC10" i="1"/>
  <c r="BQ11" i="1"/>
  <c r="BR11" i="1"/>
  <c r="BS11" i="1"/>
  <c r="BT11" i="1"/>
  <c r="BU11" i="1"/>
  <c r="BV11" i="1"/>
  <c r="BW11" i="1"/>
  <c r="BX11" i="1"/>
  <c r="BY11" i="1"/>
  <c r="CB11" i="1"/>
  <c r="CC11" i="1"/>
  <c r="BQ12" i="1"/>
  <c r="BR12" i="1"/>
  <c r="BS12" i="1"/>
  <c r="BT12" i="1"/>
  <c r="BU12" i="1"/>
  <c r="BV12" i="1"/>
  <c r="BW12" i="1"/>
  <c r="BX12" i="1"/>
  <c r="BY12" i="1"/>
  <c r="CB12" i="1"/>
  <c r="CC12" i="1"/>
  <c r="BQ13" i="1"/>
  <c r="BR13" i="1"/>
  <c r="BS13" i="1"/>
  <c r="BT13" i="1"/>
  <c r="BU13" i="1"/>
  <c r="BV13" i="1"/>
  <c r="BW13" i="1"/>
  <c r="BX13" i="1"/>
  <c r="BY13" i="1"/>
  <c r="CB13" i="1"/>
  <c r="CC13" i="1"/>
  <c r="BQ6" i="1"/>
  <c r="BR6" i="1"/>
  <c r="BS6" i="1"/>
  <c r="BT6" i="1"/>
  <c r="BU6" i="1"/>
  <c r="BV6" i="1"/>
  <c r="BW6" i="1"/>
  <c r="BX6" i="1"/>
  <c r="BY6" i="1"/>
  <c r="CB6" i="1"/>
  <c r="CC6" i="1"/>
  <c r="BQ14" i="1"/>
  <c r="BR14" i="1"/>
  <c r="BS14" i="1"/>
  <c r="BT14" i="1"/>
  <c r="BU14" i="1"/>
  <c r="BV14" i="1"/>
  <c r="BW14" i="1"/>
  <c r="BX14" i="1"/>
  <c r="BY14" i="1"/>
  <c r="CB14" i="1"/>
  <c r="CC14" i="1"/>
  <c r="CC4" i="1"/>
  <c r="BE5" i="1"/>
  <c r="BG5" i="1"/>
  <c r="BI5" i="1"/>
  <c r="BK5" i="1"/>
  <c r="BL5" i="1"/>
  <c r="BE8" i="1"/>
  <c r="BG8" i="1"/>
  <c r="BI8" i="1"/>
  <c r="BK8" i="1"/>
  <c r="BL8" i="1"/>
  <c r="BE9" i="1"/>
  <c r="BG9" i="1"/>
  <c r="BI9" i="1"/>
  <c r="BK9" i="1"/>
  <c r="BL9" i="1"/>
  <c r="BE10" i="1"/>
  <c r="BG10" i="1"/>
  <c r="BI10" i="1"/>
  <c r="BK10" i="1"/>
  <c r="BL10" i="1"/>
  <c r="BE11" i="1"/>
  <c r="BG11" i="1"/>
  <c r="BI11" i="1"/>
  <c r="BK11" i="1"/>
  <c r="BL11" i="1"/>
  <c r="BE12" i="1"/>
  <c r="BG12" i="1"/>
  <c r="BI12" i="1"/>
  <c r="BK12" i="1"/>
  <c r="BL12" i="1"/>
  <c r="BE13" i="1"/>
  <c r="BG13" i="1"/>
  <c r="BI13" i="1"/>
  <c r="BK13" i="1"/>
  <c r="BL13" i="1"/>
  <c r="BE6" i="1"/>
  <c r="BG6" i="1"/>
  <c r="BI6" i="1"/>
  <c r="BK6" i="1"/>
  <c r="BL6" i="1"/>
  <c r="BE14" i="1"/>
  <c r="BG14" i="1"/>
  <c r="BI14" i="1"/>
  <c r="BK14" i="1"/>
  <c r="BL14" i="1"/>
  <c r="BM5" i="1"/>
  <c r="BN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BM8" i="1"/>
  <c r="BN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BM9" i="1"/>
  <c r="BN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BM10" i="1"/>
  <c r="BN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BM11" i="1"/>
  <c r="BN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BM12" i="1"/>
  <c r="BN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BM13" i="1"/>
  <c r="BN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BM6" i="1"/>
  <c r="BN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BM14" i="1"/>
  <c r="BN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BN4" i="1"/>
  <c r="BM4" i="1"/>
  <c r="AT14" i="1"/>
  <c r="AT6" i="1"/>
  <c r="AT13" i="1"/>
  <c r="AT12" i="1"/>
  <c r="AT11" i="1"/>
  <c r="AT10" i="1"/>
  <c r="AT8" i="1"/>
  <c r="AT5" i="1"/>
  <c r="AT4" i="1"/>
  <c r="AG5" i="1"/>
  <c r="AG8" i="1"/>
  <c r="AG9" i="1"/>
  <c r="AG10" i="1"/>
  <c r="AG11" i="1"/>
  <c r="AG12" i="1"/>
  <c r="AG13" i="1"/>
  <c r="AG6" i="1"/>
  <c r="AG14" i="1"/>
  <c r="AG4" i="1"/>
  <c r="P46" i="29"/>
  <c r="P45" i="29"/>
  <c r="N54" i="29"/>
  <c r="N53" i="29"/>
  <c r="N52" i="29"/>
  <c r="N51" i="29"/>
  <c r="N50" i="29"/>
  <c r="N49" i="29"/>
  <c r="N48" i="29"/>
  <c r="P47" i="29"/>
  <c r="N47" i="29"/>
  <c r="N46" i="29"/>
  <c r="N45" i="29"/>
  <c r="P21" i="29"/>
  <c r="P20" i="29"/>
  <c r="N44" i="29"/>
  <c r="N43" i="29"/>
  <c r="N42" i="29"/>
  <c r="N41" i="29"/>
  <c r="N40" i="29"/>
  <c r="N39" i="29"/>
  <c r="N38" i="29"/>
  <c r="N37" i="29"/>
  <c r="N36" i="29"/>
  <c r="N35" i="29"/>
  <c r="N34" i="29"/>
  <c r="N33" i="29"/>
  <c r="N32" i="29"/>
  <c r="N31" i="29"/>
  <c r="N30" i="29"/>
  <c r="N29" i="29"/>
  <c r="N28" i="29"/>
  <c r="N27" i="29"/>
  <c r="N26" i="29"/>
  <c r="N25" i="29"/>
  <c r="N24" i="29"/>
  <c r="N23" i="29"/>
  <c r="P22" i="29"/>
  <c r="N22" i="29"/>
  <c r="N21" i="29"/>
  <c r="N20" i="29"/>
  <c r="P3" i="29"/>
  <c r="P2" i="29"/>
  <c r="N19" i="29"/>
  <c r="N18" i="29"/>
  <c r="N17" i="29"/>
  <c r="N16" i="29"/>
  <c r="N15" i="29"/>
  <c r="N14" i="29"/>
  <c r="N13" i="29"/>
  <c r="N12" i="29"/>
  <c r="N11" i="29"/>
  <c r="N10" i="29"/>
  <c r="N9" i="29"/>
  <c r="N8" i="29"/>
  <c r="N7" i="29"/>
  <c r="N6" i="29"/>
  <c r="N5" i="29"/>
  <c r="P4" i="29"/>
  <c r="N4" i="29"/>
  <c r="N3" i="29"/>
  <c r="N2" i="29"/>
  <c r="P46" i="28"/>
  <c r="P45" i="28"/>
  <c r="N54" i="28"/>
  <c r="N53" i="28"/>
  <c r="N52" i="28"/>
  <c r="N51" i="28"/>
  <c r="N50" i="28"/>
  <c r="N49" i="28"/>
  <c r="N48" i="28"/>
  <c r="P47" i="28"/>
  <c r="N47" i="28"/>
  <c r="N46" i="28"/>
  <c r="N45" i="28"/>
  <c r="P21" i="28"/>
  <c r="P20" i="28"/>
  <c r="N44" i="28"/>
  <c r="N43" i="28"/>
  <c r="N42" i="28"/>
  <c r="N41" i="28"/>
  <c r="N40" i="28"/>
  <c r="N39" i="28"/>
  <c r="N38" i="28"/>
  <c r="N37" i="28"/>
  <c r="N36" i="28"/>
  <c r="N35" i="28"/>
  <c r="N34" i="28"/>
  <c r="N33" i="28"/>
  <c r="N32" i="28"/>
  <c r="N31" i="28"/>
  <c r="N30" i="28"/>
  <c r="N29" i="28"/>
  <c r="N28" i="28"/>
  <c r="N27" i="28"/>
  <c r="N26" i="28"/>
  <c r="N25" i="28"/>
  <c r="N24" i="28"/>
  <c r="N23" i="28"/>
  <c r="P22" i="28"/>
  <c r="N22" i="28"/>
  <c r="N21" i="28"/>
  <c r="N20" i="28"/>
  <c r="P3" i="28"/>
  <c r="P2" i="28"/>
  <c r="N19" i="28"/>
  <c r="N18" i="28"/>
  <c r="N17" i="28"/>
  <c r="N16" i="28"/>
  <c r="N15" i="28"/>
  <c r="N14" i="28"/>
  <c r="N13" i="28"/>
  <c r="N12" i="28"/>
  <c r="N11" i="28"/>
  <c r="N10" i="28"/>
  <c r="N9" i="28"/>
  <c r="N8" i="28"/>
  <c r="N7" i="28"/>
  <c r="N6" i="28"/>
  <c r="N5" i="28"/>
  <c r="P4" i="28"/>
  <c r="N4" i="28"/>
  <c r="N3" i="28"/>
  <c r="N2" i="28"/>
  <c r="P46" i="27"/>
  <c r="P45" i="27"/>
  <c r="N46" i="27"/>
  <c r="N47" i="27"/>
  <c r="N48" i="27"/>
  <c r="N49" i="27"/>
  <c r="N50" i="27"/>
  <c r="N51" i="27"/>
  <c r="N52" i="27"/>
  <c r="N53" i="27"/>
  <c r="N54" i="27"/>
  <c r="N45" i="27"/>
  <c r="P21" i="27"/>
  <c r="P20" i="27"/>
  <c r="N21" i="27"/>
  <c r="N22" i="27"/>
  <c r="N23" i="27"/>
  <c r="N24" i="27"/>
  <c r="N25" i="27"/>
  <c r="N26" i="27"/>
  <c r="N27" i="27"/>
  <c r="N28" i="27"/>
  <c r="N29" i="27"/>
  <c r="N30" i="27"/>
  <c r="N31" i="27"/>
  <c r="N32" i="27"/>
  <c r="N33" i="27"/>
  <c r="N34" i="27"/>
  <c r="N35" i="27"/>
  <c r="N36" i="27"/>
  <c r="N37" i="27"/>
  <c r="N38" i="27"/>
  <c r="N39" i="27"/>
  <c r="N40" i="27"/>
  <c r="N41" i="27"/>
  <c r="N42" i="27"/>
  <c r="N43" i="27"/>
  <c r="N44" i="27"/>
  <c r="N20" i="27"/>
  <c r="P3" i="27"/>
  <c r="P2" i="27"/>
  <c r="N3" i="27"/>
  <c r="N4" i="27"/>
  <c r="N5" i="27"/>
  <c r="N6" i="27"/>
  <c r="N7" i="27"/>
  <c r="N8" i="27"/>
  <c r="N9" i="27"/>
  <c r="N10" i="27"/>
  <c r="N11" i="27"/>
  <c r="N12" i="27"/>
  <c r="N13" i="27"/>
  <c r="N14" i="27"/>
  <c r="N15" i="27"/>
  <c r="N16" i="27"/>
  <c r="N17" i="27"/>
  <c r="N18" i="27"/>
  <c r="N19" i="27"/>
  <c r="N2" i="27"/>
  <c r="P47" i="27"/>
  <c r="P22" i="27"/>
  <c r="P4" i="27"/>
  <c r="M954" i="26"/>
  <c r="M953" i="26"/>
  <c r="M952" i="26"/>
  <c r="M936" i="26"/>
  <c r="M935" i="26"/>
  <c r="M934" i="26"/>
  <c r="M918" i="26"/>
  <c r="M917" i="26"/>
  <c r="M916" i="26"/>
  <c r="M900" i="26"/>
  <c r="M899" i="26"/>
  <c r="M898" i="26"/>
  <c r="M882" i="26"/>
  <c r="M881" i="26"/>
  <c r="M880" i="26"/>
  <c r="M864" i="26"/>
  <c r="M863" i="26"/>
  <c r="M862" i="26"/>
  <c r="M846" i="26"/>
  <c r="M845" i="26"/>
  <c r="M844" i="26"/>
  <c r="M828" i="26"/>
  <c r="M827" i="26"/>
  <c r="M826" i="26"/>
  <c r="M810" i="26"/>
  <c r="M809" i="26"/>
  <c r="M808" i="26"/>
  <c r="M792" i="26"/>
  <c r="M791" i="26"/>
  <c r="M790" i="26"/>
  <c r="M774" i="26"/>
  <c r="M773" i="26"/>
  <c r="M772" i="26"/>
  <c r="M756" i="26"/>
  <c r="M755" i="26"/>
  <c r="M754" i="26"/>
  <c r="M738" i="26"/>
  <c r="M737" i="26"/>
  <c r="M736" i="26"/>
  <c r="M720" i="26"/>
  <c r="M719" i="26"/>
  <c r="M718" i="26"/>
  <c r="M702" i="26"/>
  <c r="M701" i="26"/>
  <c r="M700" i="26"/>
  <c r="M684" i="26"/>
  <c r="M683" i="26"/>
  <c r="M682" i="26"/>
  <c r="M666" i="26"/>
  <c r="M665" i="26"/>
  <c r="M664" i="26"/>
  <c r="M648" i="26"/>
  <c r="M647" i="26"/>
  <c r="M646" i="26"/>
  <c r="M630" i="26"/>
  <c r="M629" i="26"/>
  <c r="M628" i="26"/>
  <c r="M612" i="26"/>
  <c r="M611" i="26"/>
  <c r="M610" i="26"/>
  <c r="M594" i="26"/>
  <c r="M593" i="26"/>
  <c r="M592" i="26"/>
  <c r="M576" i="26"/>
  <c r="M575" i="26"/>
  <c r="M574" i="26"/>
  <c r="M558" i="26"/>
  <c r="M557" i="26"/>
  <c r="M556" i="26"/>
  <c r="M540" i="26"/>
  <c r="M539" i="26"/>
  <c r="M538" i="26"/>
  <c r="M522" i="26"/>
  <c r="M521" i="26"/>
  <c r="M520" i="26"/>
  <c r="M504" i="26"/>
  <c r="M503" i="26"/>
  <c r="M502" i="26"/>
  <c r="M486" i="26"/>
  <c r="M485" i="26"/>
  <c r="M484" i="26"/>
  <c r="M468" i="26"/>
  <c r="M467" i="26"/>
  <c r="M466" i="26"/>
  <c r="M450" i="26"/>
  <c r="M449" i="26"/>
  <c r="M448" i="26"/>
  <c r="M432" i="26"/>
  <c r="M431" i="26"/>
  <c r="M430" i="26"/>
  <c r="M414" i="26"/>
  <c r="M413" i="26"/>
  <c r="M412" i="26"/>
  <c r="M396" i="26"/>
  <c r="M395" i="26"/>
  <c r="M394" i="26"/>
  <c r="M378" i="26"/>
  <c r="M377" i="26"/>
  <c r="M376" i="26"/>
  <c r="M360" i="26"/>
  <c r="M359" i="26"/>
  <c r="M358" i="26"/>
  <c r="M342" i="26"/>
  <c r="M341" i="26"/>
  <c r="M340" i="26"/>
  <c r="M324" i="26"/>
  <c r="M323" i="26"/>
  <c r="M322" i="26"/>
  <c r="M306" i="26"/>
  <c r="M305" i="26"/>
  <c r="M304" i="26"/>
  <c r="M288" i="26"/>
  <c r="M287" i="26"/>
  <c r="M286" i="26"/>
  <c r="M270" i="26"/>
  <c r="M269" i="26"/>
  <c r="M268" i="26"/>
  <c r="M252" i="26"/>
  <c r="M251" i="26"/>
  <c r="M250" i="26"/>
  <c r="M234" i="26"/>
  <c r="M233" i="26"/>
  <c r="M232" i="26"/>
  <c r="M216" i="26"/>
  <c r="M215" i="26"/>
  <c r="M214" i="26"/>
  <c r="M198" i="26"/>
  <c r="M197" i="26"/>
  <c r="M196" i="26"/>
  <c r="M180" i="26"/>
  <c r="M179" i="26"/>
  <c r="M178" i="26"/>
  <c r="M162" i="26"/>
  <c r="M161" i="26"/>
  <c r="M160" i="26"/>
  <c r="M144" i="26"/>
  <c r="M143" i="26"/>
  <c r="M142" i="26"/>
  <c r="M126" i="26"/>
  <c r="M125" i="26"/>
  <c r="M124" i="26"/>
  <c r="M108" i="26"/>
  <c r="M107" i="26"/>
  <c r="M106" i="26"/>
  <c r="M90" i="26"/>
  <c r="M89" i="26"/>
  <c r="M88" i="26"/>
  <c r="M72" i="26"/>
  <c r="M71" i="26"/>
  <c r="M70" i="26"/>
  <c r="M54" i="26"/>
  <c r="M53" i="26"/>
  <c r="M52" i="26"/>
  <c r="M36" i="26"/>
  <c r="M35" i="26"/>
  <c r="M34" i="26"/>
  <c r="M17" i="26"/>
  <c r="M18" i="26"/>
  <c r="M16" i="26"/>
  <c r="E5" i="24"/>
  <c r="F5" i="24"/>
  <c r="E6" i="24"/>
  <c r="F6" i="24"/>
  <c r="E7" i="24"/>
  <c r="F7" i="24"/>
  <c r="E8" i="24"/>
  <c r="F8" i="24"/>
  <c r="E9" i="24"/>
  <c r="F9" i="24"/>
  <c r="E10" i="24"/>
  <c r="F10" i="24"/>
  <c r="E11" i="24"/>
  <c r="F11" i="24"/>
  <c r="E12" i="24"/>
  <c r="F12" i="24"/>
  <c r="E13" i="24"/>
  <c r="F13" i="24"/>
  <c r="E14" i="24"/>
  <c r="F14" i="24"/>
  <c r="E4" i="24"/>
  <c r="F4" i="24"/>
  <c r="B35" i="13"/>
  <c r="B34" i="13"/>
  <c r="B33" i="13"/>
  <c r="L46" i="22"/>
  <c r="N46" i="22"/>
  <c r="M46" i="22"/>
  <c r="K46" i="22"/>
  <c r="L45" i="22"/>
  <c r="N45" i="22"/>
  <c r="M45" i="22"/>
  <c r="K45" i="22"/>
  <c r="L44" i="22"/>
  <c r="N44" i="22"/>
  <c r="M44" i="22"/>
  <c r="K44" i="22"/>
  <c r="L43" i="22"/>
  <c r="N43" i="22"/>
  <c r="M43" i="22"/>
  <c r="K43" i="22"/>
  <c r="L42" i="22"/>
  <c r="N42" i="22"/>
  <c r="M42" i="22"/>
  <c r="K42" i="22"/>
  <c r="L41" i="22"/>
  <c r="N41" i="22"/>
  <c r="M41" i="22"/>
  <c r="K41" i="22"/>
  <c r="L40" i="22"/>
  <c r="N40" i="22"/>
  <c r="M40" i="22"/>
  <c r="K40" i="22"/>
  <c r="L39" i="22"/>
  <c r="N39" i="22"/>
  <c r="M39" i="22"/>
  <c r="K39" i="22"/>
  <c r="L38" i="22"/>
  <c r="N38" i="22"/>
  <c r="M38" i="22"/>
  <c r="K38" i="22"/>
  <c r="L37" i="22"/>
  <c r="N37" i="22"/>
  <c r="M37" i="22"/>
  <c r="K37" i="22"/>
  <c r="L36" i="22"/>
  <c r="N36" i="22"/>
  <c r="M36" i="22"/>
  <c r="K36" i="22"/>
  <c r="L35" i="22"/>
  <c r="N35" i="22"/>
  <c r="M35" i="22"/>
  <c r="K35" i="22"/>
  <c r="BB5" i="1"/>
  <c r="BB8" i="1"/>
  <c r="BB9" i="1"/>
  <c r="BB10" i="1"/>
  <c r="BB11" i="1"/>
  <c r="BB12" i="1"/>
  <c r="BB13" i="1"/>
  <c r="BB14" i="1"/>
  <c r="BB4" i="1"/>
  <c r="C42" i="13"/>
  <c r="D42" i="13"/>
  <c r="C43" i="13"/>
  <c r="D43" i="13"/>
  <c r="C44" i="13"/>
  <c r="D44" i="13"/>
  <c r="C45" i="13"/>
  <c r="D45" i="13"/>
  <c r="C46" i="13"/>
  <c r="D46" i="13"/>
  <c r="C47" i="13"/>
  <c r="D47" i="13"/>
  <c r="C48" i="13"/>
  <c r="D48" i="13"/>
  <c r="C49" i="13"/>
  <c r="D49" i="13"/>
  <c r="C50" i="13"/>
  <c r="D50" i="13"/>
  <c r="C51" i="13"/>
  <c r="D51" i="13"/>
  <c r="C52" i="13"/>
  <c r="D52" i="13"/>
  <c r="C41" i="13"/>
  <c r="D41" i="13"/>
  <c r="B4" i="13"/>
  <c r="B6" i="13"/>
  <c r="B7" i="13"/>
  <c r="BE4" i="1"/>
  <c r="BG4" i="1"/>
  <c r="DA4" i="1"/>
  <c r="BK4" i="1"/>
  <c r="BI4" i="1"/>
  <c r="CD4" i="1"/>
  <c r="BL4" i="1"/>
  <c r="CF4" i="1"/>
  <c r="CG4" i="1"/>
  <c r="CE4" i="1"/>
  <c r="CO4" i="1"/>
  <c r="CX4" i="1"/>
  <c r="CH4" i="1"/>
  <c r="CQ4" i="1"/>
  <c r="CI4" i="1"/>
  <c r="CR4" i="1"/>
  <c r="CJ4" i="1"/>
  <c r="CS4" i="1"/>
  <c r="CK4" i="1"/>
  <c r="CT4" i="1"/>
  <c r="CL4" i="1"/>
  <c r="CU4" i="1"/>
  <c r="CM4" i="1"/>
  <c r="CV4" i="1"/>
  <c r="CN4" i="1"/>
  <c r="CW4" i="1"/>
  <c r="CZ4" i="1"/>
  <c r="DB4" i="1"/>
  <c r="DC4" i="1"/>
  <c r="CP4" i="1"/>
  <c r="CY4" i="1"/>
</calcChain>
</file>

<file path=xl/comments1.xml><?xml version="1.0" encoding="utf-8"?>
<comments xmlns="http://schemas.openxmlformats.org/spreadsheetml/2006/main">
  <authors>
    <author>rvogt</author>
    <author/>
    <author>Rolf David Vogt</author>
  </authors>
  <commentList>
    <comment ref="BD2" authorId="0">
      <text>
        <r>
          <rPr>
            <b/>
            <sz val="8"/>
            <color indexed="81"/>
            <rFont val="Tahoma"/>
            <family val="2"/>
          </rPr>
          <t>rvogt:</t>
        </r>
        <r>
          <rPr>
            <sz val="8"/>
            <color indexed="81"/>
            <rFont val="Tahoma"/>
            <family val="2"/>
          </rPr>
          <t xml:space="preserve">
Should be between 1,5 (in soil) and 2,42 (in air)</t>
        </r>
      </text>
    </comment>
    <comment ref="E3" authorId="1">
      <text>
        <r>
          <rPr>
            <b/>
            <sz val="9"/>
            <color indexed="8"/>
            <rFont val="Arial"/>
            <family val="2"/>
          </rPr>
          <t xml:space="preserve">Christian Wilhelm Mohr:
</t>
        </r>
        <r>
          <rPr>
            <sz val="9"/>
            <color indexed="8"/>
            <rFont val="Arial"/>
            <family val="2"/>
          </rPr>
          <t>Write date time in the form mm/dd/yyyy hh:mm:ss</t>
        </r>
      </text>
    </comment>
    <comment ref="AZ6" authorId="2">
      <text>
        <r>
          <rPr>
            <b/>
            <sz val="9"/>
            <color indexed="81"/>
            <rFont val="Tahoma"/>
            <family val="2"/>
          </rPr>
          <t>Rolf David Vogt:</t>
        </r>
        <r>
          <rPr>
            <sz val="9"/>
            <color indexed="81"/>
            <rFont val="Tahoma"/>
            <family val="2"/>
          </rPr>
          <t xml:space="preserve">
-0.02</t>
        </r>
      </text>
    </comment>
    <comment ref="AR9" authorId="2">
      <text>
        <r>
          <rPr>
            <b/>
            <sz val="9"/>
            <color indexed="81"/>
            <rFont val="Tahoma"/>
            <family val="2"/>
          </rPr>
          <t>Rolf David Vogt:</t>
        </r>
        <r>
          <rPr>
            <sz val="9"/>
            <color indexed="81"/>
            <rFont val="Tahoma"/>
            <family val="2"/>
          </rPr>
          <t xml:space="preserve">
-0,000720660825781499</t>
        </r>
      </text>
    </comment>
    <comment ref="AR10" authorId="2">
      <text>
        <r>
          <rPr>
            <b/>
            <sz val="9"/>
            <color indexed="81"/>
            <rFont val="Tahoma"/>
            <family val="2"/>
          </rPr>
          <t>Rolf David Vogt:</t>
        </r>
        <r>
          <rPr>
            <sz val="9"/>
            <color indexed="81"/>
            <rFont val="Tahoma"/>
            <family val="2"/>
          </rPr>
          <t xml:space="preserve">
-0,00160625484361532</t>
        </r>
      </text>
    </comment>
    <comment ref="AZ13" authorId="2">
      <text>
        <r>
          <rPr>
            <b/>
            <sz val="9"/>
            <color indexed="81"/>
            <rFont val="Tahoma"/>
            <family val="2"/>
          </rPr>
          <t>Rolf David Vogt:</t>
        </r>
        <r>
          <rPr>
            <sz val="9"/>
            <color indexed="81"/>
            <rFont val="Tahoma"/>
            <family val="2"/>
          </rPr>
          <t xml:space="preserve">
-0.61</t>
        </r>
      </text>
    </comment>
    <comment ref="BA13" authorId="2">
      <text>
        <r>
          <rPr>
            <b/>
            <sz val="9"/>
            <color indexed="81"/>
            <rFont val="Tahoma"/>
            <family val="2"/>
          </rPr>
          <t>Rolf David Vogt:</t>
        </r>
        <r>
          <rPr>
            <sz val="9"/>
            <color indexed="81"/>
            <rFont val="Tahoma"/>
            <family val="2"/>
          </rPr>
          <t xml:space="preserve">
-0.12</t>
        </r>
      </text>
    </comment>
  </commentList>
</comments>
</file>

<file path=xl/comments2.xml><?xml version="1.0" encoding="utf-8"?>
<comments xmlns="http://schemas.openxmlformats.org/spreadsheetml/2006/main">
  <authors>
    <author>Rolf David Vogt</author>
  </authors>
  <commentList>
    <comment ref="Z11" authorId="0">
      <text>
        <r>
          <rPr>
            <b/>
            <sz val="9"/>
            <color indexed="81"/>
            <rFont val="Tahoma"/>
            <family val="2"/>
          </rPr>
          <t>Rolf David Vogt:</t>
        </r>
        <r>
          <rPr>
            <sz val="9"/>
            <color indexed="81"/>
            <rFont val="Tahoma"/>
            <family val="2"/>
          </rPr>
          <t xml:space="preserve">
-0.12</t>
        </r>
      </text>
    </comment>
  </commentList>
</comments>
</file>

<file path=xl/connections.xml><?xml version="1.0" encoding="utf-8"?>
<connections xmlns="http://schemas.openxmlformats.org/spreadsheetml/2006/main">
  <connection id="1" name="131022_module 19.rep" type="6" refreshedVersion="0" background="1" saveData="1">
    <textPr fileType="mac" sourceFile="MAC_WD_HDD:Users:CWM:Documents:UiO:MENA-4010 Modules:Module 19:Fall 2013:131022_module 19.rep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Module 19 H2012.csv" type="6" refreshedVersion="0" background="1" saveData="1">
    <textPr fileType="mac" sourceFile="MAC_WD_HDD:Users:CWM:Documents:UiO:Modules:Module 19:Fall 2012:Module 19 H2012.csv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<sst xmlns="http://schemas.openxmlformats.org/spreadsheetml/2006/main" count="5269" uniqueCount="461">
  <si>
    <t>River</t>
  </si>
  <si>
    <t>Al</t>
  </si>
  <si>
    <t>Fe</t>
  </si>
  <si>
    <t>Bikarbonat likevekten</t>
  </si>
  <si>
    <t>Oliver</t>
  </si>
  <si>
    <t xml:space="preserve">Oliver </t>
  </si>
  <si>
    <t>-log pCO2</t>
  </si>
  <si>
    <t>CO2</t>
  </si>
  <si>
    <t>Kh</t>
  </si>
  <si>
    <t>[H2CO3*]</t>
  </si>
  <si>
    <t>K1</t>
  </si>
  <si>
    <t>[HCO3-]</t>
  </si>
  <si>
    <t>K2</t>
  </si>
  <si>
    <t>[CO3 2-]</t>
  </si>
  <si>
    <t>eq DIC</t>
  </si>
  <si>
    <t>Org. charge</t>
  </si>
  <si>
    <t>at pH 4.5</t>
  </si>
  <si>
    <t>M</t>
  </si>
  <si>
    <t>uM</t>
  </si>
  <si>
    <t>ueq/L</t>
  </si>
  <si>
    <t>IC</t>
  </si>
  <si>
    <t>Filtered water</t>
  </si>
  <si>
    <t>Lake</t>
  </si>
  <si>
    <t>PO43-</t>
  </si>
  <si>
    <t>f Ali</t>
  </si>
  <si>
    <t>mol/cm^3</t>
  </si>
  <si>
    <t>S/cm</t>
  </si>
  <si>
    <r>
      <t>m</t>
    </r>
    <r>
      <rPr>
        <b/>
        <i/>
        <sz val="10"/>
        <rFont val="Arial"/>
        <family val="2"/>
      </rPr>
      <t xml:space="preserve">S </t>
    </r>
    <r>
      <rPr>
        <b/>
        <sz val="10"/>
        <rFont val="Arial"/>
        <family val="2"/>
      </rPr>
      <t>m</t>
    </r>
    <r>
      <rPr>
        <b/>
        <vertAlign val="superscript"/>
        <sz val="10"/>
        <rFont val="Arial"/>
        <family val="2"/>
      </rPr>
      <t>-1</t>
    </r>
  </si>
  <si>
    <t>DOC</t>
  </si>
  <si>
    <t>DOC</t>
    <phoneticPr fontId="18" type="noConversion"/>
  </si>
  <si>
    <t>mg C/L</t>
  </si>
  <si>
    <t>UV</t>
  </si>
  <si>
    <t>Filt-tot</t>
  </si>
  <si>
    <t>DOM-P+PO4</t>
  </si>
  <si>
    <t>Free PO4</t>
  </si>
  <si>
    <t>Temp.</t>
  </si>
  <si>
    <r>
      <t>OD</t>
    </r>
    <r>
      <rPr>
        <b/>
        <vertAlign val="subscript"/>
        <sz val="9"/>
        <rFont val="Arial"/>
        <family val="2"/>
      </rPr>
      <t>254nm</t>
    </r>
  </si>
  <si>
    <r>
      <t>OD</t>
    </r>
    <r>
      <rPr>
        <b/>
        <vertAlign val="subscript"/>
        <sz val="9"/>
        <rFont val="Arial"/>
        <family val="2"/>
      </rPr>
      <t>400nm</t>
    </r>
  </si>
  <si>
    <r>
      <t>Ca</t>
    </r>
    <r>
      <rPr>
        <b/>
        <vertAlign val="superscript"/>
        <sz val="10"/>
        <rFont val="Arial"/>
        <family val="2"/>
      </rPr>
      <t>2+</t>
    </r>
  </si>
  <si>
    <r>
      <t>Mg</t>
    </r>
    <r>
      <rPr>
        <b/>
        <vertAlign val="superscript"/>
        <sz val="10"/>
        <rFont val="Arial"/>
        <family val="2"/>
      </rPr>
      <t>2+</t>
    </r>
  </si>
  <si>
    <r>
      <t>Na</t>
    </r>
    <r>
      <rPr>
        <b/>
        <vertAlign val="superscript"/>
        <sz val="10"/>
        <rFont val="Arial"/>
        <family val="2"/>
      </rPr>
      <t>+</t>
    </r>
  </si>
  <si>
    <r>
      <t>K</t>
    </r>
    <r>
      <rPr>
        <b/>
        <vertAlign val="superscript"/>
        <sz val="10"/>
        <rFont val="Arial"/>
        <family val="2"/>
      </rPr>
      <t>+</t>
    </r>
  </si>
  <si>
    <r>
      <t>Cl</t>
    </r>
    <r>
      <rPr>
        <b/>
        <vertAlign val="superscript"/>
        <sz val="10"/>
        <rFont val="Arial"/>
        <family val="2"/>
      </rPr>
      <t>-</t>
    </r>
  </si>
  <si>
    <t>{SO4 2-}</t>
  </si>
  <si>
    <t>{Cl-}</t>
  </si>
  <si>
    <t>{NO3 -}</t>
  </si>
  <si>
    <t>{HCO3 -}</t>
  </si>
  <si>
    <t>cond. H+</t>
  </si>
  <si>
    <t>cond. Ca2+</t>
  </si>
  <si>
    <t>cond. Mg2+</t>
  </si>
  <si>
    <t>cond. Na+</t>
  </si>
  <si>
    <t>Cond. Deviation</t>
  </si>
  <si>
    <t>ºC</t>
  </si>
  <si>
    <r>
      <t>Abs cm</t>
    </r>
    <r>
      <rPr>
        <b/>
        <vertAlign val="superscript"/>
        <sz val="10"/>
        <rFont val="Arial"/>
        <family val="2"/>
      </rPr>
      <t>-1</t>
    </r>
  </si>
  <si>
    <r>
      <t>mg L</t>
    </r>
    <r>
      <rPr>
        <b/>
        <vertAlign val="superscript"/>
        <sz val="10"/>
        <rFont val="Arial"/>
        <family val="2"/>
      </rPr>
      <t>-1</t>
    </r>
  </si>
  <si>
    <t>%</t>
  </si>
  <si>
    <t>Monovalent</t>
  </si>
  <si>
    <t>Divalent</t>
  </si>
  <si>
    <t xml:space="preserve">I </t>
  </si>
  <si>
    <r>
      <t>µg P L</t>
    </r>
    <r>
      <rPr>
        <b/>
        <vertAlign val="superscript"/>
        <sz val="10"/>
        <rFont val="Arial"/>
        <family val="2"/>
      </rPr>
      <t>-1</t>
    </r>
  </si>
  <si>
    <t>B1</t>
  </si>
  <si>
    <t>Colour</t>
  </si>
  <si>
    <t>pH corr.</t>
  </si>
  <si>
    <t>Data quality</t>
  </si>
  <si>
    <t>Log</t>
  </si>
  <si>
    <t xml:space="preserve">Plot </t>
  </si>
  <si>
    <t>Type</t>
  </si>
  <si>
    <t>Date/time</t>
  </si>
  <si>
    <t>Volume</t>
  </si>
  <si>
    <t>Comment</t>
  </si>
  <si>
    <t>Alkalinity</t>
  </si>
  <si>
    <t>Sample</t>
  </si>
  <si>
    <t>Sampling</t>
  </si>
  <si>
    <t>If pH&gt;5.5</t>
  </si>
  <si>
    <t>Tot-F</t>
  </si>
  <si>
    <t>Number</t>
  </si>
  <si>
    <t>Letter</t>
  </si>
  <si>
    <t>dd.mm.yy hh:mm</t>
  </si>
  <si>
    <t>mL</t>
  </si>
  <si>
    <t xml:space="preserve">  pH</t>
  </si>
  <si>
    <r>
      <t>µeq L</t>
    </r>
    <r>
      <rPr>
        <b/>
        <vertAlign val="superscript"/>
        <sz val="10"/>
        <rFont val="Arial"/>
        <family val="2"/>
      </rPr>
      <t>-1</t>
    </r>
  </si>
  <si>
    <t>µM</t>
  </si>
  <si>
    <t>Ionic streangth</t>
  </si>
  <si>
    <t>f</t>
  </si>
  <si>
    <t>cond. K+</t>
  </si>
  <si>
    <t>cond. SO4 2-</t>
  </si>
  <si>
    <t>cond. Cl-</t>
  </si>
  <si>
    <t>cond. NO3 -</t>
  </si>
  <si>
    <t>cond.HCO3-</t>
  </si>
  <si>
    <t>Tot. cond.</t>
  </si>
  <si>
    <t>Measured</t>
  </si>
  <si>
    <t>Difference</t>
  </si>
  <si>
    <t>{H+}</t>
  </si>
  <si>
    <t>{Ca2+}</t>
  </si>
  <si>
    <t>{Mg2+}</t>
  </si>
  <si>
    <t>{Na+}</t>
  </si>
  <si>
    <t>{K+}</t>
  </si>
  <si>
    <t>H+</t>
  </si>
  <si>
    <t>IB</t>
  </si>
  <si>
    <t>n.a.</t>
  </si>
  <si>
    <r>
      <t>SO</t>
    </r>
    <r>
      <rPr>
        <b/>
        <vertAlign val="subscript"/>
        <sz val="10"/>
        <rFont val="Arial"/>
        <family val="2"/>
      </rPr>
      <t>4</t>
    </r>
    <r>
      <rPr>
        <b/>
        <vertAlign val="superscript"/>
        <sz val="10"/>
        <rFont val="Arial"/>
        <family val="2"/>
      </rPr>
      <t>2-</t>
    </r>
  </si>
  <si>
    <r>
      <t>NO</t>
    </r>
    <r>
      <rPr>
        <b/>
        <vertAlign val="subscript"/>
        <sz val="10"/>
        <rFont val="Arial"/>
        <family val="2"/>
      </rPr>
      <t>3</t>
    </r>
    <r>
      <rPr>
        <b/>
        <vertAlign val="superscript"/>
        <sz val="10"/>
        <rFont val="Arial"/>
        <family val="2"/>
      </rPr>
      <t>-</t>
    </r>
  </si>
  <si>
    <r>
      <t>mg SO4 L</t>
    </r>
    <r>
      <rPr>
        <b/>
        <vertAlign val="superscript"/>
        <sz val="10"/>
        <rFont val="Arial"/>
        <family val="2"/>
      </rPr>
      <t>-1</t>
    </r>
  </si>
  <si>
    <r>
      <t>mg NO3 L</t>
    </r>
    <r>
      <rPr>
        <b/>
        <vertAlign val="superscript"/>
        <sz val="10"/>
        <rFont val="Arial"/>
        <family val="2"/>
      </rPr>
      <t>-1</t>
    </r>
  </si>
  <si>
    <r>
      <t>Cond</t>
    </r>
    <r>
      <rPr>
        <b/>
        <vertAlign val="subscript"/>
        <sz val="11"/>
        <rFont val="Calibri"/>
        <family val="2"/>
        <scheme val="minor"/>
      </rPr>
      <t>25C</t>
    </r>
  </si>
  <si>
    <r>
      <t>µS.cm</t>
    </r>
    <r>
      <rPr>
        <b/>
        <vertAlign val="superscript"/>
        <sz val="11"/>
        <rFont val="Calibri"/>
        <family val="2"/>
        <scheme val="minor"/>
      </rPr>
      <t>-1</t>
    </r>
  </si>
  <si>
    <t>Blank1</t>
  </si>
  <si>
    <t>Blank2</t>
  </si>
  <si>
    <t>Blank3</t>
  </si>
  <si>
    <t>SRP/PO4---</t>
  </si>
  <si>
    <t>Std.1</t>
  </si>
  <si>
    <t>Std.2</t>
  </si>
  <si>
    <t>Std.3</t>
  </si>
  <si>
    <t>Std.4</t>
  </si>
  <si>
    <t>Std.5</t>
  </si>
  <si>
    <t>Std.6</t>
  </si>
  <si>
    <t>Std.7</t>
  </si>
  <si>
    <t>Abs 880nm</t>
  </si>
  <si>
    <t>KH2PO4 (g)</t>
  </si>
  <si>
    <t>KH2PO4 (g P)</t>
  </si>
  <si>
    <t>Volume (L)</t>
  </si>
  <si>
    <t>PO4--- Stock sol. 2 (µg P/L)</t>
  </si>
  <si>
    <t>PO4--- Stock sol. 1 (µg P/L)</t>
  </si>
  <si>
    <t>Slope</t>
  </si>
  <si>
    <t>Intercept</t>
  </si>
  <si>
    <t>Correlation</t>
  </si>
  <si>
    <t>Conc. PO4--- (µg P/L)</t>
  </si>
  <si>
    <t>in use</t>
  </si>
  <si>
    <t>not in use</t>
  </si>
  <si>
    <t>PO4--- 1</t>
  </si>
  <si>
    <t>PO4--- 2</t>
  </si>
  <si>
    <t>PO4--- 3</t>
  </si>
  <si>
    <t>PO4--- 4</t>
  </si>
  <si>
    <t>PO4--- 5</t>
  </si>
  <si>
    <t>PO4--- 6</t>
  </si>
  <si>
    <t>PO4--- 7</t>
  </si>
  <si>
    <t>PO4--- 8</t>
  </si>
  <si>
    <t>PO4--- 9</t>
  </si>
  <si>
    <t>PO4--- 10</t>
  </si>
  <si>
    <t>PO4--- 11</t>
  </si>
  <si>
    <t>Corrected for blank</t>
  </si>
  <si>
    <t>Sequence Name:</t>
  </si>
  <si>
    <t>Program Name:</t>
  </si>
  <si>
    <t>Method File Name:</t>
  </si>
  <si>
    <t>Dual2011</t>
  </si>
  <si>
    <t>Date Time Collected:</t>
  </si>
  <si>
    <t>System Operator:</t>
  </si>
  <si>
    <t>localuser</t>
  </si>
  <si>
    <t xml:space="preserve">No. </t>
  </si>
  <si>
    <t xml:space="preserve">Name </t>
  </si>
  <si>
    <t xml:space="preserve">Amount </t>
  </si>
  <si>
    <t/>
  </si>
  <si>
    <t>ppm</t>
  </si>
  <si>
    <t>F</t>
  </si>
  <si>
    <t>Cl</t>
  </si>
  <si>
    <t>SO4</t>
  </si>
  <si>
    <t>Br</t>
  </si>
  <si>
    <t>NO3</t>
  </si>
  <si>
    <t>PO4</t>
  </si>
  <si>
    <t>ECD</t>
  </si>
  <si>
    <t>blank</t>
  </si>
  <si>
    <t>Anion 1</t>
  </si>
  <si>
    <t>Anion 2</t>
  </si>
  <si>
    <t>Anion 3</t>
  </si>
  <si>
    <t>An 1</t>
  </si>
  <si>
    <t>17.10.13 10:00</t>
  </si>
  <si>
    <t>Bogstadvannet</t>
  </si>
  <si>
    <t>x-coordinate</t>
  </si>
  <si>
    <t>y-coordinate</t>
  </si>
  <si>
    <t>E010°37.406</t>
  </si>
  <si>
    <t>Lysakerelva</t>
  </si>
  <si>
    <t>17.10.13 10:25</t>
  </si>
  <si>
    <t>N 59°57.500'</t>
  </si>
  <si>
    <t>Akerselva</t>
  </si>
  <si>
    <t>Årungen</t>
  </si>
  <si>
    <t>17.10.13 11:35</t>
  </si>
  <si>
    <t>17.10.13 11:50</t>
  </si>
  <si>
    <t>Gjersjøen</t>
  </si>
  <si>
    <t>17.10.13 12:15</t>
  </si>
  <si>
    <t>Kolbotntjernet</t>
  </si>
  <si>
    <t>17.10.13 12:40</t>
  </si>
  <si>
    <t>Sværsvann</t>
  </si>
  <si>
    <t>Østensjøvann</t>
  </si>
  <si>
    <t>17.10.13 12:55</t>
  </si>
  <si>
    <t>17.10.13 13:40</t>
  </si>
  <si>
    <t>Lutvann</t>
  </si>
  <si>
    <t>Maridalsvannet</t>
  </si>
  <si>
    <t>17.10.13 14:10</t>
  </si>
  <si>
    <t>Nesøytjernet</t>
  </si>
  <si>
    <t>13.10.13</t>
  </si>
  <si>
    <r>
      <t>Br</t>
    </r>
    <r>
      <rPr>
        <b/>
        <vertAlign val="superscript"/>
        <sz val="10"/>
        <rFont val="Arial"/>
        <family val="2"/>
      </rPr>
      <t>-</t>
    </r>
  </si>
  <si>
    <t>Std.8</t>
  </si>
  <si>
    <t>Std.9</t>
  </si>
  <si>
    <t>Std.10</t>
  </si>
  <si>
    <t>Std.11</t>
  </si>
  <si>
    <t>Frøydis</t>
  </si>
  <si>
    <t>LOD ≈ 1</t>
  </si>
  <si>
    <t>DOP</t>
  </si>
  <si>
    <t>20131022 CH. MOHR, KJEM. INST., VOGT</t>
  </si>
  <si>
    <t>AS18_ICS2000</t>
  </si>
  <si>
    <t>Certi an 1/2</t>
  </si>
  <si>
    <t>Orig. 1</t>
  </si>
  <si>
    <t>Orig. 2</t>
  </si>
  <si>
    <t>Orig. 3</t>
  </si>
  <si>
    <t>Orig. 4</t>
  </si>
  <si>
    <t>Orig. 5</t>
  </si>
  <si>
    <t>Orig. 6</t>
  </si>
  <si>
    <t>Orig. 7</t>
  </si>
  <si>
    <t>Orig. 8</t>
  </si>
  <si>
    <t>Orig. 9</t>
  </si>
  <si>
    <t>Orig. 10</t>
  </si>
  <si>
    <t>Orig. 11</t>
  </si>
  <si>
    <t>sjekket innimellom prøvene</t>
  </si>
  <si>
    <t>TM1</t>
  </si>
  <si>
    <t>TM2</t>
  </si>
  <si>
    <t>TM3</t>
  </si>
  <si>
    <t>TM4</t>
  </si>
  <si>
    <t>TM5</t>
  </si>
  <si>
    <t>TM6</t>
  </si>
  <si>
    <t>TM7</t>
  </si>
  <si>
    <t>TM8</t>
  </si>
  <si>
    <t>TM9</t>
  </si>
  <si>
    <t>TM10</t>
  </si>
  <si>
    <t>TM11</t>
  </si>
  <si>
    <t>st3_test1</t>
  </si>
  <si>
    <t>std3_test2</t>
  </si>
  <si>
    <t>Std3_test3</t>
  </si>
  <si>
    <t>Cr</t>
  </si>
  <si>
    <t>Mn</t>
  </si>
  <si>
    <t>Cu</t>
  </si>
  <si>
    <t>Zn</t>
  </si>
  <si>
    <t>As</t>
  </si>
  <si>
    <t>Cd</t>
  </si>
  <si>
    <t>Sn</t>
  </si>
  <si>
    <t>Pb</t>
  </si>
  <si>
    <t>TDM1</t>
  </si>
  <si>
    <t>TDM2</t>
  </si>
  <si>
    <t>TDM3</t>
  </si>
  <si>
    <t>TDM4</t>
  </si>
  <si>
    <t>TDM5</t>
  </si>
  <si>
    <t>TDM6</t>
  </si>
  <si>
    <t>TDM7</t>
  </si>
  <si>
    <t>TDM8</t>
  </si>
  <si>
    <t>TDM9</t>
  </si>
  <si>
    <t>TDM10</t>
  </si>
  <si>
    <t>TDM11</t>
  </si>
  <si>
    <t>LOD</t>
  </si>
  <si>
    <t>LOQ</t>
  </si>
  <si>
    <t>Blank4</t>
  </si>
  <si>
    <t>Blank5</t>
  </si>
  <si>
    <t>Blank6</t>
  </si>
  <si>
    <t>Blank7</t>
  </si>
  <si>
    <t>average</t>
  </si>
  <si>
    <t>st.dev</t>
  </si>
  <si>
    <t>3xstdev</t>
  </si>
  <si>
    <t>10xstdev</t>
  </si>
  <si>
    <t>Brukte Fe-isotopen med 2% abundance, den har mindre interferenser</t>
  </si>
  <si>
    <t>godt mulig denne er helt grei, kanskje det ikke var noe særlig Cl i prøvene :)</t>
  </si>
  <si>
    <t>ICP-OES</t>
  </si>
  <si>
    <r>
      <t>µg L</t>
    </r>
    <r>
      <rPr>
        <b/>
        <vertAlign val="superscript"/>
        <sz val="10"/>
        <rFont val="Arial"/>
        <family val="2"/>
      </rPr>
      <t>-1</t>
    </r>
  </si>
  <si>
    <t>ICP-MS Total Dissolved Trace Metals</t>
  </si>
  <si>
    <t>Total 206Pb</t>
  </si>
  <si>
    <t>Total 207Pb</t>
  </si>
  <si>
    <t>Total 208Pb</t>
  </si>
  <si>
    <t>Total 206Pb/207Pb ratio</t>
  </si>
  <si>
    <t>Solution Label</t>
  </si>
  <si>
    <t>Ca</t>
  </si>
  <si>
    <t>K</t>
  </si>
  <si>
    <t>Mg</t>
  </si>
  <si>
    <t>Na</t>
  </si>
  <si>
    <t>Sample 1</t>
  </si>
  <si>
    <t>Sample 2</t>
  </si>
  <si>
    <t>Sample 3</t>
  </si>
  <si>
    <t>Sample 4</t>
  </si>
  <si>
    <t>Sample 5</t>
  </si>
  <si>
    <t>Sample 6</t>
  </si>
  <si>
    <t>Sample 7</t>
  </si>
  <si>
    <t>Sample 8</t>
  </si>
  <si>
    <t>Sample 9</t>
  </si>
  <si>
    <t>Sample 10</t>
  </si>
  <si>
    <t>Sample 11</t>
  </si>
  <si>
    <t>F_Stoa</t>
  </si>
  <si>
    <t>F_Hobol</t>
  </si>
  <si>
    <t>F_Dalen</t>
  </si>
  <si>
    <t>F_Vansjø</t>
  </si>
  <si>
    <t>F_boat</t>
  </si>
  <si>
    <t>Volume sample</t>
  </si>
  <si>
    <t>Volume titrated</t>
  </si>
  <si>
    <t>HCl conc. (mol/L)</t>
  </si>
  <si>
    <t>Alkalinity (mol/L)</t>
  </si>
  <si>
    <t>Alkalinity (µmol/L)</t>
  </si>
  <si>
    <t>[Header]</t>
  </si>
  <si>
    <t>System</t>
  </si>
  <si>
    <t>TOC vanja</t>
  </si>
  <si>
    <t>File Ver.</t>
  </si>
  <si>
    <t>User</t>
  </si>
  <si>
    <t>Date of Creation</t>
  </si>
  <si>
    <t>Comments</t>
  </si>
  <si>
    <t>[System]</t>
  </si>
  <si>
    <t>Detector</t>
  </si>
  <si>
    <t>Combustion</t>
  </si>
  <si>
    <t>Catalyst</t>
  </si>
  <si>
    <t>Regular Sensitivity</t>
  </si>
  <si>
    <t>ASI Tray</t>
  </si>
  <si>
    <t>24 mL Vials</t>
  </si>
  <si>
    <t>[Data]</t>
  </si>
  <si>
    <t>Anal.</t>
  </si>
  <si>
    <t>Sample Name</t>
  </si>
  <si>
    <t>Sample ID</t>
  </si>
  <si>
    <t>TOC</t>
  </si>
  <si>
    <t>TC</t>
  </si>
  <si>
    <t>POC</t>
  </si>
  <si>
    <t>NPOC</t>
  </si>
  <si>
    <t>TN</t>
  </si>
  <si>
    <t>Unit</t>
  </si>
  <si>
    <t>Vial</t>
  </si>
  <si>
    <t>Date / Time</t>
  </si>
  <si>
    <t>Unknown</t>
  </si>
  <si>
    <t>Vask</t>
  </si>
  <si>
    <t>Standard</t>
  </si>
  <si>
    <t>4, 5, 6, 7, 8</t>
  </si>
  <si>
    <t>Sample1</t>
  </si>
  <si>
    <t>Sample2</t>
  </si>
  <si>
    <t>Sample3</t>
  </si>
  <si>
    <t>Sample4</t>
  </si>
  <si>
    <t>Sample5</t>
  </si>
  <si>
    <t>Sample6</t>
  </si>
  <si>
    <t>Sample7</t>
  </si>
  <si>
    <t>Sample8</t>
  </si>
  <si>
    <t>Sample9</t>
  </si>
  <si>
    <t>Sample10</t>
  </si>
  <si>
    <t>Sample11</t>
  </si>
  <si>
    <t>B</t>
  </si>
  <si>
    <t>D</t>
  </si>
  <si>
    <t>H</t>
  </si>
  <si>
    <t>S</t>
  </si>
  <si>
    <t>VB</t>
  </si>
  <si>
    <t>VM</t>
  </si>
  <si>
    <t>Quantitative Analysis - Summary Report</t>
  </si>
  <si>
    <t>Sample ID:</t>
  </si>
  <si>
    <t>Blank</t>
  </si>
  <si>
    <t>Sample Date/Time:</t>
  </si>
  <si>
    <t>Tuesday</t>
  </si>
  <si>
    <t xml:space="preserve"> October 22</t>
  </si>
  <si>
    <t xml:space="preserve"> 2013 11:17:43</t>
  </si>
  <si>
    <t>Sample Description:</t>
  </si>
  <si>
    <t>Results (Mean Data)</t>
  </si>
  <si>
    <t>IS</t>
  </si>
  <si>
    <t>A</t>
  </si>
  <si>
    <t>Mass</t>
  </si>
  <si>
    <t>Intensity</t>
  </si>
  <si>
    <t>RSD%</t>
  </si>
  <si>
    <t>Conc.</t>
  </si>
  <si>
    <t>SD</t>
  </si>
  <si>
    <t>Blank Intens.</t>
  </si>
  <si>
    <t>Mode</t>
  </si>
  <si>
    <t xml:space="preserve">  </t>
  </si>
  <si>
    <t>ug/L</t>
  </si>
  <si>
    <t>Standard 1</t>
  </si>
  <si>
    <t xml:space="preserve"> 2013 11:19:37</t>
  </si>
  <si>
    <t>Standard 2</t>
  </si>
  <si>
    <t xml:space="preserve"> 2013 11:21:27</t>
  </si>
  <si>
    <t>Standard 3</t>
  </si>
  <si>
    <t xml:space="preserve"> 2013 11:23:04</t>
  </si>
  <si>
    <t>Standard 4</t>
  </si>
  <si>
    <t xml:space="preserve"> 2013 11:24:47</t>
  </si>
  <si>
    <t xml:space="preserve"> 2013 11:29:13</t>
  </si>
  <si>
    <t xml:space="preserve"> 2013 11:31:14</t>
  </si>
  <si>
    <t xml:space="preserve"> 2013 11:34:45</t>
  </si>
  <si>
    <t xml:space="preserve"> 2013 11:37:13</t>
  </si>
  <si>
    <t xml:space="preserve"> 2013 11:40:01</t>
  </si>
  <si>
    <t>st2_test1</t>
  </si>
  <si>
    <t xml:space="preserve"> 2013 11:41:41</t>
  </si>
  <si>
    <t xml:space="preserve"> 2013 11:43:39</t>
  </si>
  <si>
    <t xml:space="preserve"> 2013 11:45:20</t>
  </si>
  <si>
    <t xml:space="preserve"> 2013 11:46:55</t>
  </si>
  <si>
    <t xml:space="preserve"> 2013 11:48:28</t>
  </si>
  <si>
    <t xml:space="preserve"> 2013 11:50:03</t>
  </si>
  <si>
    <t xml:space="preserve"> 2013 11:51:49</t>
  </si>
  <si>
    <t>std2_test2</t>
  </si>
  <si>
    <t xml:space="preserve"> 2013 11:53:30</t>
  </si>
  <si>
    <t xml:space="preserve"> 2013 11:55:25</t>
  </si>
  <si>
    <t xml:space="preserve"> 2013 11:57:02</t>
  </si>
  <si>
    <t xml:space="preserve"> 2013 11:58:39</t>
  </si>
  <si>
    <t xml:space="preserve"> 2013 12:00:19</t>
  </si>
  <si>
    <t xml:space="preserve"> 2013 12:01:53</t>
  </si>
  <si>
    <t xml:space="preserve"> 2013 12:04:30</t>
  </si>
  <si>
    <t xml:space="preserve"> 2013 12:06:06</t>
  </si>
  <si>
    <t xml:space="preserve"> 2013 12:07:40</t>
  </si>
  <si>
    <t xml:space="preserve"> 2013 12:09:24</t>
  </si>
  <si>
    <t xml:space="preserve"> 2013 12:11:02</t>
  </si>
  <si>
    <t>Standard3_test3</t>
  </si>
  <si>
    <t xml:space="preserve"> 2013 12:12:54</t>
  </si>
  <si>
    <t xml:space="preserve"> 2013 12:14:35</t>
  </si>
  <si>
    <t xml:space="preserve"> 2013 12:16:23</t>
  </si>
  <si>
    <t xml:space="preserve"> 2013 12:18:00</t>
  </si>
  <si>
    <t xml:space="preserve"> 2013 12:19:43</t>
  </si>
  <si>
    <t xml:space="preserve"> 2013 12:21:18</t>
  </si>
  <si>
    <t xml:space="preserve"> 2013 12:23:04</t>
  </si>
  <si>
    <t xml:space="preserve"> 2013 12:25:15</t>
  </si>
  <si>
    <t xml:space="preserve"> 2013 12:26:48</t>
  </si>
  <si>
    <t xml:space="preserve"> 2013 12:28:24</t>
  </si>
  <si>
    <t xml:space="preserve"> 2013 12:29:57</t>
  </si>
  <si>
    <t xml:space="preserve"> 2013 12:31:30</t>
  </si>
  <si>
    <t xml:space="preserve"> 2013 12:33:04</t>
  </si>
  <si>
    <t xml:space="preserve"> 2013 12:34:38</t>
  </si>
  <si>
    <t xml:space="preserve"> 2013 12:36:52</t>
  </si>
  <si>
    <t xml:space="preserve"> 2013 12:38:36</t>
  </si>
  <si>
    <t xml:space="preserve"> 2013 12:40:13</t>
  </si>
  <si>
    <t xml:space="preserve"> 2013 12:41:51</t>
  </si>
  <si>
    <t xml:space="preserve"> 2013 12:43:31</t>
  </si>
  <si>
    <t>FMW_B</t>
  </si>
  <si>
    <t xml:space="preserve"> 2013 12:45:37</t>
  </si>
  <si>
    <t>FMW_S</t>
  </si>
  <si>
    <t xml:space="preserve"> 2013 12:47:14</t>
  </si>
  <si>
    <t>FMW_H</t>
  </si>
  <si>
    <t xml:space="preserve"> 2013 12:48:49</t>
  </si>
  <si>
    <t>FMW_D</t>
  </si>
  <si>
    <t xml:space="preserve"> 2013 12:50:40</t>
  </si>
  <si>
    <t>FMW_V</t>
  </si>
  <si>
    <t xml:space="preserve"> 2013 12:52:26</t>
  </si>
  <si>
    <t>FMW_Vb</t>
  </si>
  <si>
    <t xml:space="preserve"> 2013 12:54:16</t>
  </si>
  <si>
    <t>Isotope composition</t>
  </si>
  <si>
    <t>Isotope concentration</t>
  </si>
  <si>
    <t>a</t>
  </si>
  <si>
    <t>b</t>
  </si>
  <si>
    <t>r</t>
  </si>
  <si>
    <t>Analyte</t>
  </si>
  <si>
    <t>Ref Isotope composition</t>
  </si>
  <si>
    <t>Ref Isotope concentration</t>
  </si>
  <si>
    <t>True isotope concentration</t>
  </si>
  <si>
    <t>Natural ratio = 1.090</t>
  </si>
  <si>
    <t>206Pb</t>
  </si>
  <si>
    <t>207Pb</t>
  </si>
  <si>
    <t>208Pb</t>
  </si>
  <si>
    <t>206Pb/207Pb ratio</t>
  </si>
  <si>
    <t>ICP-MS Total trace metals</t>
  </si>
  <si>
    <r>
      <t>µmol L</t>
    </r>
    <r>
      <rPr>
        <b/>
        <vertAlign val="superscript"/>
        <sz val="11"/>
        <rFont val="Arial"/>
        <family val="2"/>
      </rPr>
      <t>-1</t>
    </r>
  </si>
  <si>
    <t xml:space="preserve">Particle bound </t>
  </si>
  <si>
    <t>Dissolved</t>
  </si>
  <si>
    <t>pH</t>
  </si>
  <si>
    <t>400nm</t>
  </si>
  <si>
    <t>254nm</t>
  </si>
  <si>
    <t>Cond</t>
  </si>
  <si>
    <t>Alk</t>
  </si>
  <si>
    <t xml:space="preserve">Strong correlations </t>
  </si>
  <si>
    <t>A254</t>
  </si>
  <si>
    <t>Common source: Weathering of carbonates and feldspars</t>
  </si>
  <si>
    <t>Common source: Weathering of carbonates</t>
  </si>
  <si>
    <t>Known proxies for DOM</t>
  </si>
  <si>
    <t>Common source: Seasalts and Weathering of carbonates and feldspars</t>
  </si>
  <si>
    <t>Common source: Weathering of feldspars</t>
  </si>
  <si>
    <t>Inherent relation</t>
  </si>
  <si>
    <t>High ionic index</t>
  </si>
  <si>
    <t>redox</t>
  </si>
  <si>
    <t>weathering</t>
  </si>
  <si>
    <t>Type B metals - high covalent index - bind to org. Compounds</t>
  </si>
  <si>
    <t>PC1</t>
  </si>
  <si>
    <t>PC2</t>
  </si>
  <si>
    <t>PC3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</si>
</sst>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0.0"/>
    <numFmt numFmtId="165" formatCode="0.000"/>
    <numFmt numFmtId="166" formatCode="dd\.mm\.yy\ hh:mm"/>
    <numFmt numFmtId="167" formatCode="0.0000"/>
    <numFmt numFmtId="168" formatCode="0.0E+00"/>
    <numFmt numFmtId="169" formatCode="0.0%"/>
  </numFmts>
  <fonts count="5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vertAlign val="subscript"/>
      <sz val="10"/>
      <name val="Arial"/>
      <family val="2"/>
    </font>
    <font>
      <b/>
      <sz val="9"/>
      <name val="Arial"/>
      <family val="2"/>
    </font>
    <font>
      <b/>
      <vertAlign val="subscript"/>
      <sz val="9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b/>
      <sz val="10"/>
      <name val="Calibri"/>
      <family val="2"/>
    </font>
    <font>
      <sz val="10"/>
      <name val="Arial"/>
      <family val="2"/>
    </font>
    <font>
      <u/>
      <sz val="12.5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Verdana"/>
      <family val="2"/>
    </font>
    <font>
      <sz val="11"/>
      <name val="Calibri"/>
      <family val="2"/>
      <scheme val="minor"/>
    </font>
    <font>
      <u/>
      <sz val="10"/>
      <color theme="11"/>
      <name val="Arial"/>
      <family val="2"/>
    </font>
    <font>
      <b/>
      <sz val="11"/>
      <name val="Calibri"/>
      <family val="2"/>
      <scheme val="minor"/>
    </font>
    <font>
      <b/>
      <vertAlign val="superscript"/>
      <sz val="11"/>
      <name val="Arial"/>
      <family val="2"/>
    </font>
    <font>
      <sz val="11"/>
      <name val="Arial"/>
      <family val="2"/>
    </font>
    <font>
      <b/>
      <vertAlign val="subscript"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sz val="11"/>
      <color theme="6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6"/>
      <name val="Arial"/>
      <family val="2"/>
    </font>
    <font>
      <sz val="10"/>
      <color rgb="FFFF0000"/>
      <name val="Arial"/>
      <family val="2"/>
    </font>
    <font>
      <sz val="12"/>
      <name val="Calibri"/>
      <family val="2"/>
      <scheme val="minor"/>
    </font>
    <font>
      <sz val="10"/>
      <color theme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34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35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>
      <alignment vertical="top" wrapText="1"/>
      <protection locked="0"/>
    </xf>
    <xf numFmtId="0" fontId="4" fillId="0" borderId="0">
      <alignment vertical="top" wrapText="1"/>
      <protection locked="0"/>
    </xf>
    <xf numFmtId="9" fontId="6" fillId="0" borderId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214">
    <xf numFmtId="0" fontId="0" fillId="0" borderId="0" xfId="0"/>
    <xf numFmtId="164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" fontId="8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 applyProtection="1">
      <alignment horizontal="center"/>
    </xf>
    <xf numFmtId="165" fontId="7" fillId="0" borderId="0" xfId="0" applyNumberFormat="1" applyFont="1" applyFill="1" applyAlignment="1" applyProtection="1">
      <alignment horizontal="center"/>
    </xf>
    <xf numFmtId="1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 applyProtection="1">
      <alignment horizontal="center"/>
    </xf>
    <xf numFmtId="2" fontId="7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Alignment="1">
      <alignment horizontal="center"/>
    </xf>
    <xf numFmtId="1" fontId="0" fillId="0" borderId="0" xfId="0" applyNumberFormat="1" applyFill="1" applyAlignment="1" applyProtection="1">
      <alignment horizontal="center"/>
    </xf>
    <xf numFmtId="0" fontId="7" fillId="0" borderId="0" xfId="0" applyFont="1" applyFill="1"/>
    <xf numFmtId="165" fontId="11" fillId="0" borderId="0" xfId="0" applyNumberFormat="1" applyFont="1" applyFill="1" applyAlignment="1" applyProtection="1">
      <alignment horizontal="center"/>
    </xf>
    <xf numFmtId="165" fontId="7" fillId="0" borderId="0" xfId="0" applyNumberFormat="1" applyFont="1" applyFill="1" applyBorder="1" applyAlignment="1">
      <alignment horizontal="center"/>
    </xf>
    <xf numFmtId="1" fontId="14" fillId="0" borderId="0" xfId="0" applyNumberFormat="1" applyFont="1" applyFill="1" applyAlignment="1">
      <alignment horizontal="center"/>
    </xf>
    <xf numFmtId="1" fontId="9" fillId="0" borderId="0" xfId="0" applyNumberFormat="1" applyFont="1" applyFill="1" applyAlignment="1">
      <alignment horizontal="left"/>
    </xf>
    <xf numFmtId="165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0" fillId="2" borderId="1" xfId="0" applyNumberFormat="1" applyFill="1" applyBorder="1" applyAlignment="1" applyProtection="1">
      <alignment horizontal="center"/>
    </xf>
    <xf numFmtId="164" fontId="0" fillId="2" borderId="1" xfId="0" applyNumberFormat="1" applyFill="1" applyBorder="1" applyAlignment="1" applyProtection="1">
      <alignment horizontal="center"/>
    </xf>
    <xf numFmtId="1" fontId="0" fillId="2" borderId="1" xfId="0" applyNumberFormat="1" applyFill="1" applyBorder="1" applyAlignment="1" applyProtection="1">
      <alignment horizontal="center"/>
    </xf>
    <xf numFmtId="164" fontId="0" fillId="0" borderId="1" xfId="0" applyNumberFormat="1" applyFill="1" applyBorder="1" applyAlignment="1" applyProtection="1">
      <alignment horizontal="center"/>
    </xf>
    <xf numFmtId="1" fontId="8" fillId="2" borderId="1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22" fillId="0" borderId="0" xfId="0" applyNumberFormat="1" applyFont="1" applyFill="1" applyBorder="1" applyAlignment="1" applyProtection="1">
      <alignment horizontal="center"/>
    </xf>
    <xf numFmtId="164" fontId="23" fillId="0" borderId="0" xfId="0" applyNumberFormat="1" applyFont="1" applyFill="1" applyBorder="1" applyAlignment="1" applyProtection="1">
      <alignment horizontal="center"/>
    </xf>
    <xf numFmtId="1" fontId="0" fillId="0" borderId="3" xfId="0" applyNumberFormat="1" applyFill="1" applyBorder="1" applyAlignment="1">
      <alignment horizontal="center"/>
    </xf>
    <xf numFmtId="2" fontId="0" fillId="0" borderId="0" xfId="0" applyNumberFormat="1"/>
    <xf numFmtId="2" fontId="6" fillId="0" borderId="0" xfId="0" applyNumberFormat="1" applyFont="1" applyFill="1" applyBorder="1" applyAlignment="1" applyProtection="1">
      <alignment horizontal="center"/>
    </xf>
    <xf numFmtId="2" fontId="19" fillId="0" borderId="0" xfId="0" applyNumberFormat="1" applyFont="1" applyFill="1" applyAlignment="1" applyProtection="1">
      <alignment horizontal="center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left"/>
    </xf>
    <xf numFmtId="15" fontId="7" fillId="0" borderId="3" xfId="0" applyNumberFormat="1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166" fontId="0" fillId="0" borderId="3" xfId="0" applyNumberForma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15" fontId="0" fillId="0" borderId="3" xfId="0" applyNumberFormat="1" applyFill="1" applyBorder="1" applyAlignment="1">
      <alignment horizontal="center"/>
    </xf>
    <xf numFmtId="0" fontId="0" fillId="0" borderId="3" xfId="0" applyBorder="1"/>
    <xf numFmtId="0" fontId="0" fillId="0" borderId="4" xfId="0" applyFont="1" applyFill="1" applyBorder="1" applyAlignment="1">
      <alignment horizontal="center"/>
    </xf>
    <xf numFmtId="165" fontId="24" fillId="0" borderId="0" xfId="0" applyNumberFormat="1" applyFon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2" fontId="0" fillId="3" borderId="1" xfId="0" applyNumberFormat="1" applyFill="1" applyBorder="1" applyAlignment="1" applyProtection="1">
      <alignment horizontal="center"/>
    </xf>
    <xf numFmtId="168" fontId="0" fillId="3" borderId="1" xfId="0" applyNumberFormat="1" applyFill="1" applyBorder="1" applyAlignment="1" applyProtection="1">
      <alignment horizontal="center"/>
    </xf>
    <xf numFmtId="0" fontId="7" fillId="0" borderId="0" xfId="0" applyFont="1" applyFill="1" applyBorder="1" applyAlignment="1"/>
    <xf numFmtId="168" fontId="7" fillId="0" borderId="0" xfId="0" applyNumberFormat="1" applyFont="1" applyFill="1" applyBorder="1" applyAlignment="1"/>
    <xf numFmtId="2" fontId="27" fillId="3" borderId="0" xfId="0" applyNumberFormat="1" applyFont="1" applyFill="1" applyBorder="1" applyAlignment="1">
      <alignment horizontal="center" vertical="center"/>
    </xf>
    <xf numFmtId="168" fontId="0" fillId="3" borderId="0" xfId="0" applyNumberFormat="1" applyFill="1" applyBorder="1" applyAlignment="1">
      <alignment horizontal="center" vertical="center"/>
    </xf>
    <xf numFmtId="164" fontId="7" fillId="0" borderId="0" xfId="0" applyNumberFormat="1" applyFont="1" applyFill="1" applyBorder="1" applyAlignment="1"/>
    <xf numFmtId="164" fontId="25" fillId="0" borderId="0" xfId="0" applyNumberFormat="1" applyFont="1" applyFill="1" applyBorder="1" applyAlignment="1">
      <alignment horizontal="center"/>
    </xf>
    <xf numFmtId="164" fontId="25" fillId="0" borderId="0" xfId="0" applyNumberFormat="1" applyFont="1" applyBorder="1"/>
    <xf numFmtId="164" fontId="26" fillId="0" borderId="0" xfId="0" applyNumberFormat="1" applyFont="1" applyBorder="1"/>
    <xf numFmtId="164" fontId="0" fillId="3" borderId="0" xfId="0" applyNumberFormat="1" applyFill="1" applyBorder="1" applyAlignment="1">
      <alignment horizontal="center" vertical="center"/>
    </xf>
    <xf numFmtId="164" fontId="26" fillId="3" borderId="0" xfId="0" applyNumberFormat="1" applyFont="1" applyFill="1" applyBorder="1" applyAlignment="1">
      <alignment horizontal="center"/>
    </xf>
    <xf numFmtId="1" fontId="0" fillId="0" borderId="0" xfId="0" applyNumberFormat="1" applyFill="1"/>
    <xf numFmtId="164" fontId="28" fillId="0" borderId="0" xfId="0" applyNumberFormat="1" applyFont="1" applyFill="1" applyBorder="1" applyAlignment="1" applyProtection="1">
      <alignment horizontal="center"/>
    </xf>
    <xf numFmtId="2" fontId="29" fillId="0" borderId="0" xfId="0" applyNumberFormat="1" applyFont="1" applyBorder="1" applyAlignment="1">
      <alignment horizontal="center"/>
    </xf>
    <xf numFmtId="0" fontId="7" fillId="0" borderId="0" xfId="0" applyFont="1"/>
    <xf numFmtId="165" fontId="7" fillId="0" borderId="0" xfId="0" applyNumberFormat="1" applyFont="1" applyFill="1" applyAlignment="1" applyProtection="1">
      <alignment horizontal="center"/>
    </xf>
    <xf numFmtId="165" fontId="0" fillId="0" borderId="0" xfId="0" applyNumberFormat="1" applyAlignment="1">
      <alignment horizontal="center"/>
    </xf>
    <xf numFmtId="165" fontId="7" fillId="0" borderId="0" xfId="0" applyNumberFormat="1" applyFont="1" applyFill="1" applyAlignment="1" applyProtection="1">
      <alignment horizontal="center"/>
    </xf>
    <xf numFmtId="2" fontId="7" fillId="0" borderId="0" xfId="0" applyNumberFormat="1" applyFont="1" applyFill="1" applyAlignment="1" applyProtection="1">
      <alignment horizontal="center"/>
    </xf>
    <xf numFmtId="2" fontId="36" fillId="0" borderId="0" xfId="0" applyNumberFormat="1" applyFont="1" applyFill="1" applyBorder="1" applyAlignment="1" applyProtection="1">
      <alignment horizontal="center"/>
    </xf>
    <xf numFmtId="2" fontId="34" fillId="0" borderId="0" xfId="0" applyNumberFormat="1" applyFont="1" applyFill="1" applyBorder="1" applyAlignment="1" applyProtection="1">
      <alignment horizontal="center"/>
    </xf>
    <xf numFmtId="2" fontId="34" fillId="0" borderId="0" xfId="0" applyNumberFormat="1" applyFont="1" applyBorder="1" applyAlignment="1">
      <alignment horizontal="center"/>
    </xf>
    <xf numFmtId="165" fontId="32" fillId="0" borderId="0" xfId="0" applyNumberFormat="1" applyFont="1" applyAlignment="1">
      <alignment horizontal="center"/>
    </xf>
    <xf numFmtId="165" fontId="32" fillId="0" borderId="0" xfId="0" applyNumberFormat="1" applyFont="1" applyFill="1" applyAlignment="1" applyProtection="1">
      <alignment horizontal="center"/>
    </xf>
    <xf numFmtId="165" fontId="38" fillId="0" borderId="0" xfId="0" applyNumberFormat="1" applyFont="1" applyAlignment="1">
      <alignment horizontal="center"/>
    </xf>
    <xf numFmtId="164" fontId="36" fillId="0" borderId="0" xfId="0" applyNumberFormat="1" applyFont="1" applyFill="1" applyAlignment="1" applyProtection="1">
      <alignment horizontal="center"/>
    </xf>
    <xf numFmtId="164" fontId="36" fillId="0" borderId="0" xfId="0" applyNumberFormat="1" applyFont="1" applyAlignment="1">
      <alignment horizontal="center"/>
    </xf>
    <xf numFmtId="164" fontId="34" fillId="0" borderId="0" xfId="0" applyNumberFormat="1" applyFont="1" applyFill="1" applyBorder="1" applyAlignment="1" applyProtection="1">
      <alignment horizontal="center"/>
    </xf>
    <xf numFmtId="164" fontId="34" fillId="0" borderId="0" xfId="0" applyNumberFormat="1" applyFont="1" applyAlignment="1">
      <alignment horizontal="center"/>
    </xf>
    <xf numFmtId="164" fontId="32" fillId="0" borderId="0" xfId="0" applyNumberFormat="1" applyFont="1" applyFill="1" applyAlignment="1" applyProtection="1">
      <alignment horizontal="center"/>
    </xf>
    <xf numFmtId="164" fontId="32" fillId="0" borderId="0" xfId="0" applyNumberFormat="1" applyFont="1" applyAlignment="1">
      <alignment horizontal="center"/>
    </xf>
    <xf numFmtId="164" fontId="38" fillId="0" borderId="0" xfId="0" applyNumberFormat="1" applyFont="1" applyBorder="1" applyAlignment="1">
      <alignment horizontal="center"/>
    </xf>
    <xf numFmtId="164" fontId="38" fillId="0" borderId="0" xfId="0" applyNumberFormat="1" applyFont="1" applyAlignment="1">
      <alignment horizontal="center"/>
    </xf>
    <xf numFmtId="0" fontId="0" fillId="0" borderId="0" xfId="0"/>
    <xf numFmtId="2" fontId="7" fillId="0" borderId="0" xfId="0" applyNumberFormat="1" applyFont="1" applyFill="1" applyAlignment="1" applyProtection="1">
      <alignment horizontal="center"/>
    </xf>
    <xf numFmtId="0" fontId="3" fillId="0" borderId="0" xfId="53"/>
    <xf numFmtId="15" fontId="0" fillId="0" borderId="3" xfId="0" applyNumberFormat="1" applyBorder="1" applyAlignment="1">
      <alignment horizontal="center"/>
    </xf>
    <xf numFmtId="2" fontId="0" fillId="0" borderId="0" xfId="5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6" fillId="5" borderId="0" xfId="0" applyNumberFormat="1" applyFont="1" applyFill="1" applyBorder="1" applyAlignment="1" applyProtection="1">
      <alignment horizontal="center"/>
    </xf>
    <xf numFmtId="0" fontId="31" fillId="0" borderId="0" xfId="53" applyNumberFormat="1" applyFont="1" applyFill="1" applyAlignment="1" applyProtection="1"/>
    <xf numFmtId="0" fontId="3" fillId="0" borderId="0" xfId="53" applyNumberFormat="1" applyFont="1" applyFill="1" applyAlignment="1" applyProtection="1"/>
    <xf numFmtId="0" fontId="41" fillId="4" borderId="8" xfId="53" applyNumberFormat="1" applyFont="1" applyFill="1" applyBorder="1" applyAlignment="1" applyProtection="1"/>
    <xf numFmtId="0" fontId="3" fillId="4" borderId="9" xfId="53" applyNumberFormat="1" applyFont="1" applyFill="1" applyBorder="1" applyAlignment="1" applyProtection="1">
      <alignment horizontal="right"/>
    </xf>
    <xf numFmtId="0" fontId="42" fillId="4" borderId="9" xfId="53" applyNumberFormat="1" applyFont="1" applyFill="1" applyBorder="1" applyAlignment="1" applyProtection="1"/>
    <xf numFmtId="0" fontId="14" fillId="4" borderId="9" xfId="53" applyNumberFormat="1" applyFont="1" applyFill="1" applyBorder="1" applyAlignment="1" applyProtection="1"/>
    <xf numFmtId="0" fontId="14" fillId="4" borderId="10" xfId="53" applyNumberFormat="1" applyFont="1" applyFill="1" applyBorder="1" applyAlignment="1" applyProtection="1"/>
    <xf numFmtId="0" fontId="41" fillId="4" borderId="6" xfId="53" applyNumberFormat="1" applyFont="1" applyFill="1" applyBorder="1" applyAlignment="1" applyProtection="1">
      <alignment horizontal="left"/>
    </xf>
    <xf numFmtId="0" fontId="3" fillId="4" borderId="0" xfId="53" applyNumberFormat="1" applyFont="1" applyFill="1" applyAlignment="1" applyProtection="1">
      <alignment horizontal="left"/>
    </xf>
    <xf numFmtId="0" fontId="42" fillId="4" borderId="0" xfId="53" applyNumberFormat="1" applyFont="1" applyFill="1" applyAlignment="1" applyProtection="1"/>
    <xf numFmtId="0" fontId="3" fillId="4" borderId="0" xfId="53" applyNumberFormat="1" applyFont="1" applyFill="1" applyAlignment="1" applyProtection="1"/>
    <xf numFmtId="0" fontId="3" fillId="4" borderId="7" xfId="53" applyNumberFormat="1" applyFont="1" applyFill="1" applyBorder="1" applyAlignment="1" applyProtection="1"/>
    <xf numFmtId="14" fontId="42" fillId="4" borderId="0" xfId="53" applyNumberFormat="1" applyFont="1" applyFill="1" applyAlignment="1" applyProtection="1">
      <alignment horizontal="left"/>
    </xf>
    <xf numFmtId="0" fontId="41" fillId="4" borderId="11" xfId="53" applyNumberFormat="1" applyFont="1" applyFill="1" applyBorder="1" applyAlignment="1" applyProtection="1">
      <alignment horizontal="left"/>
    </xf>
    <xf numFmtId="0" fontId="3" fillId="4" borderId="12" xfId="53" applyNumberFormat="1" applyFont="1" applyFill="1" applyBorder="1" applyAlignment="1" applyProtection="1">
      <alignment horizontal="left"/>
    </xf>
    <xf numFmtId="0" fontId="42" fillId="4" borderId="12" xfId="53" applyNumberFormat="1" applyFont="1" applyFill="1" applyBorder="1" applyAlignment="1" applyProtection="1"/>
    <xf numFmtId="0" fontId="3" fillId="4" borderId="12" xfId="53" applyNumberFormat="1" applyFont="1" applyFill="1" applyBorder="1" applyAlignment="1" applyProtection="1"/>
    <xf numFmtId="0" fontId="3" fillId="4" borderId="13" xfId="53" applyNumberFormat="1" applyFont="1" applyFill="1" applyBorder="1" applyAlignment="1" applyProtection="1"/>
    <xf numFmtId="0" fontId="41" fillId="4" borderId="5" xfId="53" applyNumberFormat="1" applyFont="1" applyFill="1" applyBorder="1" applyAlignment="1" applyProtection="1"/>
    <xf numFmtId="0" fontId="41" fillId="4" borderId="2" xfId="53" applyNumberFormat="1" applyFont="1" applyFill="1" applyBorder="1" applyAlignment="1" applyProtection="1"/>
    <xf numFmtId="0" fontId="41" fillId="4" borderId="6" xfId="53" applyNumberFormat="1" applyFont="1" applyFill="1" applyBorder="1" applyAlignment="1" applyProtection="1"/>
    <xf numFmtId="0" fontId="31" fillId="4" borderId="2" xfId="53" applyNumberFormat="1" applyFont="1" applyFill="1" applyBorder="1" applyAlignment="1" applyProtection="1"/>
    <xf numFmtId="0" fontId="31" fillId="4" borderId="6" xfId="53" applyNumberFormat="1" applyFont="1" applyFill="1" applyBorder="1" applyAlignment="1" applyProtection="1"/>
    <xf numFmtId="2" fontId="31" fillId="4" borderId="6" xfId="53" applyNumberFormat="1" applyFont="1" applyFill="1" applyBorder="1" applyAlignment="1" applyProtection="1"/>
    <xf numFmtId="167" fontId="31" fillId="4" borderId="6" xfId="53" applyNumberFormat="1" applyFont="1" applyFill="1" applyBorder="1" applyAlignment="1" applyProtection="1"/>
    <xf numFmtId="2" fontId="31" fillId="4" borderId="2" xfId="53" applyNumberFormat="1" applyFont="1" applyFill="1" applyBorder="1" applyAlignment="1" applyProtection="1"/>
    <xf numFmtId="1" fontId="42" fillId="0" borderId="5" xfId="53" applyNumberFormat="1" applyFont="1" applyFill="1" applyBorder="1" applyAlignment="1" applyProtection="1">
      <alignment horizontal="left"/>
    </xf>
    <xf numFmtId="2" fontId="42" fillId="0" borderId="10" xfId="53" applyNumberFormat="1" applyFont="1" applyFill="1" applyBorder="1" applyAlignment="1" applyProtection="1"/>
    <xf numFmtId="2" fontId="42" fillId="0" borderId="5" xfId="53" applyNumberFormat="1" applyFont="1" applyFill="1" applyBorder="1" applyAlignment="1" applyProtection="1"/>
    <xf numFmtId="0" fontId="42" fillId="0" borderId="3" xfId="53" applyNumberFormat="1" applyFont="1" applyFill="1" applyBorder="1" applyAlignment="1" applyProtection="1">
      <alignment horizontal="left"/>
    </xf>
    <xf numFmtId="0" fontId="42" fillId="0" borderId="14" xfId="53" applyNumberFormat="1" applyFont="1" applyFill="1" applyBorder="1" applyAlignment="1" applyProtection="1"/>
    <xf numFmtId="2" fontId="42" fillId="0" borderId="3" xfId="53" applyNumberFormat="1" applyFont="1" applyFill="1" applyBorder="1" applyAlignment="1" applyProtection="1"/>
    <xf numFmtId="0" fontId="42" fillId="0" borderId="5" xfId="53" applyNumberFormat="1" applyFont="1" applyFill="1" applyBorder="1" applyAlignment="1" applyProtection="1">
      <alignment horizontal="left"/>
    </xf>
    <xf numFmtId="0" fontId="42" fillId="0" borderId="9" xfId="53" applyNumberFormat="1" applyFont="1" applyFill="1" applyBorder="1" applyAlignment="1" applyProtection="1"/>
    <xf numFmtId="1" fontId="42" fillId="0" borderId="3" xfId="53" applyNumberFormat="1" applyFont="1" applyFill="1" applyBorder="1" applyAlignment="1" applyProtection="1">
      <alignment horizontal="left"/>
    </xf>
    <xf numFmtId="0" fontId="3" fillId="6" borderId="0" xfId="53" applyFill="1"/>
    <xf numFmtId="0" fontId="3" fillId="6" borderId="7" xfId="53" applyFill="1" applyBorder="1"/>
    <xf numFmtId="0" fontId="43" fillId="6" borderId="0" xfId="53" applyFont="1" applyFill="1"/>
    <xf numFmtId="0" fontId="3" fillId="6" borderId="12" xfId="53" applyFill="1" applyBorder="1"/>
    <xf numFmtId="0" fontId="3" fillId="6" borderId="13" xfId="53" applyFill="1" applyBorder="1"/>
    <xf numFmtId="0" fontId="43" fillId="6" borderId="12" xfId="53" applyFont="1" applyFill="1" applyBorder="1"/>
    <xf numFmtId="0" fontId="43" fillId="6" borderId="7" xfId="53" applyFont="1" applyFill="1" applyBorder="1"/>
    <xf numFmtId="165" fontId="3" fillId="6" borderId="0" xfId="53" applyNumberFormat="1" applyFill="1"/>
    <xf numFmtId="165" fontId="45" fillId="6" borderId="0" xfId="53" applyNumberFormat="1" applyFont="1" applyFill="1"/>
    <xf numFmtId="167" fontId="3" fillId="6" borderId="0" xfId="53" applyNumberFormat="1" applyFill="1"/>
    <xf numFmtId="167" fontId="45" fillId="6" borderId="0" xfId="53" applyNumberFormat="1" applyFont="1" applyFill="1"/>
    <xf numFmtId="0" fontId="46" fillId="0" borderId="0" xfId="96" applyFont="1"/>
    <xf numFmtId="0" fontId="46" fillId="0" borderId="0" xfId="96" applyFont="1" applyAlignment="1">
      <alignment horizontal="center"/>
    </xf>
    <xf numFmtId="0" fontId="2" fillId="0" borderId="0" xfId="96"/>
    <xf numFmtId="2" fontId="2" fillId="0" borderId="0" xfId="96" applyNumberFormat="1" applyAlignment="1">
      <alignment horizontal="center"/>
    </xf>
    <xf numFmtId="0" fontId="47" fillId="0" borderId="0" xfId="0" applyFont="1"/>
    <xf numFmtId="22" fontId="2" fillId="0" borderId="0" xfId="96" applyNumberFormat="1"/>
    <xf numFmtId="169" fontId="0" fillId="0" borderId="0" xfId="95" applyNumberFormat="1" applyFont="1"/>
    <xf numFmtId="169" fontId="0" fillId="0" borderId="0" xfId="0" applyNumberFormat="1"/>
    <xf numFmtId="165" fontId="7" fillId="0" borderId="0" xfId="0" applyNumberFormat="1" applyFont="1" applyFill="1" applyAlignment="1" applyProtection="1">
      <alignment horizontal="center"/>
    </xf>
    <xf numFmtId="2" fontId="7" fillId="0" borderId="0" xfId="0" applyNumberFormat="1" applyFont="1" applyFill="1" applyBorder="1" applyAlignment="1" applyProtection="1">
      <alignment horizontal="center"/>
    </xf>
    <xf numFmtId="2" fontId="7" fillId="0" borderId="0" xfId="0" applyNumberFormat="1" applyFont="1" applyFill="1" applyAlignment="1" applyProtection="1">
      <alignment horizontal="center"/>
    </xf>
    <xf numFmtId="2" fontId="49" fillId="0" borderId="0" xfId="96" applyNumberFormat="1" applyFont="1" applyAlignment="1">
      <alignment horizontal="center"/>
    </xf>
    <xf numFmtId="2" fontId="48" fillId="0" borderId="0" xfId="0" applyNumberFormat="1" applyFont="1"/>
    <xf numFmtId="2" fontId="7" fillId="0" borderId="6" xfId="0" applyNumberFormat="1" applyFont="1" applyFill="1" applyBorder="1" applyAlignment="1" applyProtection="1">
      <alignment horizontal="center"/>
    </xf>
    <xf numFmtId="2" fontId="7" fillId="0" borderId="7" xfId="0" applyNumberFormat="1" applyFont="1" applyFill="1" applyBorder="1" applyAlignment="1" applyProtection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2" fillId="0" borderId="7" xfId="96" applyNumberFormat="1" applyBorder="1" applyAlignment="1">
      <alignment horizontal="center"/>
    </xf>
    <xf numFmtId="2" fontId="29" fillId="0" borderId="6" xfId="0" applyNumberFormat="1" applyFont="1" applyBorder="1" applyAlignment="1">
      <alignment horizontal="center"/>
    </xf>
    <xf numFmtId="164" fontId="7" fillId="0" borderId="7" xfId="0" applyNumberFormat="1" applyFont="1" applyFill="1" applyBorder="1" applyAlignment="1" applyProtection="1">
      <alignment horizontal="center"/>
    </xf>
    <xf numFmtId="164" fontId="11" fillId="0" borderId="7" xfId="0" applyNumberFormat="1" applyFont="1" applyFill="1" applyBorder="1" applyAlignment="1" applyProtection="1">
      <alignment horizontal="center"/>
    </xf>
    <xf numFmtId="164" fontId="7" fillId="0" borderId="7" xfId="0" applyNumberFormat="1" applyFont="1" applyBorder="1" applyAlignment="1">
      <alignment horizontal="center"/>
    </xf>
    <xf numFmtId="2" fontId="2" fillId="0" borderId="7" xfId="5" applyNumberFormat="1" applyFont="1" applyBorder="1" applyAlignment="1">
      <alignment horizontal="center" vertical="center"/>
    </xf>
    <xf numFmtId="2" fontId="2" fillId="0" borderId="6" xfId="96" applyNumberFormat="1" applyBorder="1" applyAlignment="1">
      <alignment horizontal="center"/>
    </xf>
    <xf numFmtId="2" fontId="29" fillId="5" borderId="7" xfId="0" applyNumberFormat="1" applyFont="1" applyFill="1" applyBorder="1" applyAlignment="1">
      <alignment horizontal="center"/>
    </xf>
    <xf numFmtId="2" fontId="0" fillId="0" borderId="6" xfId="0" applyNumberFormat="1" applyBorder="1" applyAlignment="1">
      <alignment horizontal="center" vertical="center"/>
    </xf>
    <xf numFmtId="2" fontId="48" fillId="5" borderId="7" xfId="0" applyNumberFormat="1" applyFont="1" applyFill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0" fillId="0" borderId="0" xfId="0" applyNumberFormat="1" applyBorder="1"/>
    <xf numFmtId="2" fontId="0" fillId="0" borderId="0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4" fontId="28" fillId="0" borderId="6" xfId="0" applyNumberFormat="1" applyFont="1" applyFill="1" applyBorder="1" applyAlignment="1" applyProtection="1">
      <alignment horizontal="center"/>
    </xf>
    <xf numFmtId="165" fontId="0" fillId="0" borderId="7" xfId="0" applyNumberFormat="1" applyBorder="1" applyAlignment="1">
      <alignment horizontal="center" vertical="center"/>
    </xf>
    <xf numFmtId="164" fontId="23" fillId="0" borderId="6" xfId="0" applyNumberFormat="1" applyFont="1" applyFill="1" applyBorder="1" applyAlignment="1" applyProtection="1">
      <alignment horizontal="center"/>
    </xf>
    <xf numFmtId="1" fontId="0" fillId="3" borderId="0" xfId="0" applyNumberFormat="1" applyFill="1" applyBorder="1" applyAlignment="1">
      <alignment horizontal="center" vertical="center"/>
    </xf>
    <xf numFmtId="168" fontId="0" fillId="0" borderId="0" xfId="0" applyNumberFormat="1" applyFont="1" applyFill="1" applyAlignment="1" applyProtection="1">
      <alignment horizontal="left"/>
    </xf>
    <xf numFmtId="168" fontId="0" fillId="0" borderId="0" xfId="0" applyNumberFormat="1" applyFill="1" applyAlignment="1" applyProtection="1">
      <alignment horizontal="center"/>
    </xf>
    <xf numFmtId="168" fontId="0" fillId="2" borderId="1" xfId="0" applyNumberFormat="1" applyFill="1" applyBorder="1" applyAlignment="1" applyProtection="1">
      <alignment horizontal="center"/>
    </xf>
    <xf numFmtId="168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168" fontId="14" fillId="0" borderId="0" xfId="0" applyNumberFormat="1" applyFont="1" applyFill="1" applyAlignment="1" applyProtection="1">
      <alignment horizontal="center"/>
    </xf>
    <xf numFmtId="164" fontId="11" fillId="0" borderId="0" xfId="0" applyNumberFormat="1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164" fontId="0" fillId="0" borderId="0" xfId="0" applyNumberFormat="1"/>
    <xf numFmtId="2" fontId="6" fillId="0" borderId="6" xfId="0" applyNumberFormat="1" applyFont="1" applyFill="1" applyBorder="1" applyAlignment="1" applyProtection="1">
      <alignment horizontal="center"/>
    </xf>
    <xf numFmtId="2" fontId="23" fillId="0" borderId="6" xfId="0" applyNumberFormat="1" applyFont="1" applyFill="1" applyBorder="1" applyAlignment="1" applyProtection="1">
      <alignment horizontal="center"/>
    </xf>
    <xf numFmtId="2" fontId="44" fillId="0" borderId="6" xfId="0" applyNumberFormat="1" applyFont="1" applyFill="1" applyBorder="1" applyAlignment="1" applyProtection="1">
      <alignment horizontal="center"/>
    </xf>
    <xf numFmtId="2" fontId="23" fillId="0" borderId="0" xfId="0" applyNumberFormat="1" applyFont="1" applyFill="1" applyBorder="1" applyAlignment="1" applyProtection="1">
      <alignment horizontal="center"/>
    </xf>
    <xf numFmtId="2" fontId="44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15" fontId="0" fillId="0" borderId="0" xfId="0" applyNumberFormat="1" applyBorder="1" applyAlignment="1">
      <alignment horizontal="center"/>
    </xf>
    <xf numFmtId="1" fontId="38" fillId="0" borderId="0" xfId="1" applyNumberFormat="1" applyFont="1" applyBorder="1" applyAlignment="1" applyProtection="1">
      <alignment horizontal="center"/>
    </xf>
    <xf numFmtId="1" fontId="38" fillId="0" borderId="0" xfId="0" applyNumberFormat="1" applyFont="1" applyAlignment="1">
      <alignment horizontal="center"/>
    </xf>
    <xf numFmtId="1" fontId="34" fillId="0" borderId="0" xfId="0" applyNumberFormat="1" applyFont="1" applyAlignment="1">
      <alignment horizontal="center"/>
    </xf>
    <xf numFmtId="165" fontId="29" fillId="0" borderId="0" xfId="0" applyNumberFormat="1" applyFont="1" applyBorder="1" applyAlignment="1">
      <alignment horizontal="center"/>
    </xf>
    <xf numFmtId="165" fontId="50" fillId="0" borderId="0" xfId="0" applyNumberFormat="1" applyFont="1" applyAlignment="1">
      <alignment horizontal="center"/>
    </xf>
    <xf numFmtId="165" fontId="48" fillId="0" borderId="0" xfId="0" applyNumberFormat="1" applyFont="1" applyAlignment="1">
      <alignment horizontal="center"/>
    </xf>
    <xf numFmtId="2" fontId="29" fillId="0" borderId="0" xfId="0" applyNumberFormat="1" applyFont="1" applyBorder="1" applyAlignment="1">
      <alignment horizontal="center" vertical="center"/>
    </xf>
    <xf numFmtId="165" fontId="50" fillId="0" borderId="0" xfId="0" applyNumberFormat="1" applyFont="1" applyBorder="1" applyAlignment="1">
      <alignment horizontal="center"/>
    </xf>
    <xf numFmtId="165" fontId="48" fillId="0" borderId="0" xfId="0" applyNumberFormat="1" applyFont="1" applyBorder="1" applyAlignment="1">
      <alignment horizontal="center"/>
    </xf>
    <xf numFmtId="165" fontId="0" fillId="0" borderId="0" xfId="0" applyNumberFormat="1"/>
    <xf numFmtId="165" fontId="7" fillId="0" borderId="0" xfId="0" applyNumberFormat="1" applyFont="1"/>
    <xf numFmtId="2" fontId="1" fillId="0" borderId="0" xfId="0" applyNumberFormat="1" applyFont="1"/>
    <xf numFmtId="1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/>
    <xf numFmtId="2" fontId="0" fillId="0" borderId="6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7" xfId="0" applyNumberFormat="1" applyBorder="1" applyAlignment="1">
      <alignment horizontal="center"/>
    </xf>
    <xf numFmtId="1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 applyProtection="1">
      <alignment horizontal="center"/>
    </xf>
  </cellXfs>
  <cellStyles count="134">
    <cellStyle name="Comma" xfId="5" builtinId="3"/>
    <cellStyle name="Followed Hyperlink" xfId="3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Hyperlink" xfId="1" builtinId="8"/>
    <cellStyle name="Normal" xfId="0" builtinId="0"/>
    <cellStyle name="Normal 2" xfId="2"/>
    <cellStyle name="Normal 3" xfId="4"/>
    <cellStyle name="Normal 4" xfId="7"/>
    <cellStyle name="Normal 5" xfId="53"/>
    <cellStyle name="Normal 6" xfId="6"/>
    <cellStyle name="Normal 7" xfId="96"/>
    <cellStyle name="Percent" xfId="95" builtinId="5"/>
    <cellStyle name="Percent 2" xfId="8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20884"/>
      <rgbColor rgb="0000FFFF"/>
      <rgbColor rgb="00800000"/>
      <rgbColor rgb="00006411"/>
      <rgbColor rgb="00000080"/>
      <rgbColor rgb="0090713A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72909459446291"/>
          <c:y val="2.6085212706167381E-2"/>
          <c:w val="0.849768136843712"/>
          <c:h val="0.8179431528027886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'All data'!$BQ$2</c:f>
              <c:strCache>
                <c:ptCount val="1"/>
                <c:pt idx="0">
                  <c:v>Ca2+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'All data'!$BO$19:$BO$50</c:f>
              <c:strCache>
                <c:ptCount val="31"/>
                <c:pt idx="0">
                  <c:v>Bogstadvannet</c:v>
                </c:pt>
                <c:pt idx="3">
                  <c:v>Lysakerelva</c:v>
                </c:pt>
                <c:pt idx="6">
                  <c:v>Maridalsvannet</c:v>
                </c:pt>
                <c:pt idx="9">
                  <c:v>Akerselva</c:v>
                </c:pt>
                <c:pt idx="12">
                  <c:v>Østensjøvann</c:v>
                </c:pt>
                <c:pt idx="15">
                  <c:v>Kolbotntjernet</c:v>
                </c:pt>
                <c:pt idx="18">
                  <c:v>Årungen</c:v>
                </c:pt>
                <c:pt idx="21">
                  <c:v>Gjersjøen</c:v>
                </c:pt>
                <c:pt idx="24">
                  <c:v>Sværsvann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data'!$BQ$19:$BQ$50</c:f>
              <c:numCache>
                <c:formatCode>0.0</c:formatCode>
                <c:ptCount val="32"/>
                <c:pt idx="0">
                  <c:v>302.83286164202235</c:v>
                </c:pt>
                <c:pt idx="3">
                  <c:v>421.74089610535339</c:v>
                </c:pt>
                <c:pt idx="6">
                  <c:v>129.26137519727158</c:v>
                </c:pt>
                <c:pt idx="9">
                  <c:v>464.1344049527238</c:v>
                </c:pt>
                <c:pt idx="12">
                  <c:v>1654.531163637108</c:v>
                </c:pt>
                <c:pt idx="15">
                  <c:v>1406.1542349102774</c:v>
                </c:pt>
                <c:pt idx="18">
                  <c:v>1249.3275662977035</c:v>
                </c:pt>
                <c:pt idx="21">
                  <c:v>1161.8206334519548</c:v>
                </c:pt>
                <c:pt idx="24">
                  <c:v>271.88352409040209</c:v>
                </c:pt>
                <c:pt idx="27">
                  <c:v>1569.5513103341766</c:v>
                </c:pt>
                <c:pt idx="30">
                  <c:v>382.74455972646592</c:v>
                </c:pt>
              </c:numCache>
            </c:numRef>
          </c:val>
        </c:ser>
        <c:ser>
          <c:idx val="3"/>
          <c:order val="1"/>
          <c:tx>
            <c:strRef>
              <c:f>'All data'!$BR$2</c:f>
              <c:strCache>
                <c:ptCount val="1"/>
                <c:pt idx="0">
                  <c:v>Mg2+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'All data'!$BO$19:$BO$50</c:f>
              <c:strCache>
                <c:ptCount val="31"/>
                <c:pt idx="0">
                  <c:v>Bogstadvannet</c:v>
                </c:pt>
                <c:pt idx="3">
                  <c:v>Lysakerelva</c:v>
                </c:pt>
                <c:pt idx="6">
                  <c:v>Maridalsvannet</c:v>
                </c:pt>
                <c:pt idx="9">
                  <c:v>Akerselva</c:v>
                </c:pt>
                <c:pt idx="12">
                  <c:v>Østensjøvann</c:v>
                </c:pt>
                <c:pt idx="15">
                  <c:v>Kolbotntjernet</c:v>
                </c:pt>
                <c:pt idx="18">
                  <c:v>Årungen</c:v>
                </c:pt>
                <c:pt idx="21">
                  <c:v>Gjersjøen</c:v>
                </c:pt>
                <c:pt idx="24">
                  <c:v>Sværsvann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data'!$BR$19:$BR$50</c:f>
              <c:numCache>
                <c:formatCode>0.0</c:formatCode>
                <c:ptCount val="32"/>
                <c:pt idx="0">
                  <c:v>45.159627849685336</c:v>
                </c:pt>
                <c:pt idx="3">
                  <c:v>73.826619404587504</c:v>
                </c:pt>
                <c:pt idx="6">
                  <c:v>15.522682527521889</c:v>
                </c:pt>
                <c:pt idx="9">
                  <c:v>150.9570562913604</c:v>
                </c:pt>
                <c:pt idx="12">
                  <c:v>466.97046234872317</c:v>
                </c:pt>
                <c:pt idx="15">
                  <c:v>309.40234884165022</c:v>
                </c:pt>
                <c:pt idx="18">
                  <c:v>453.49622774933027</c:v>
                </c:pt>
                <c:pt idx="21">
                  <c:v>293.9822340860153</c:v>
                </c:pt>
                <c:pt idx="24">
                  <c:v>64.691693571866722</c:v>
                </c:pt>
                <c:pt idx="27">
                  <c:v>389.151183090291</c:v>
                </c:pt>
                <c:pt idx="30">
                  <c:v>95.210197859841514</c:v>
                </c:pt>
              </c:numCache>
            </c:numRef>
          </c:val>
        </c:ser>
        <c:ser>
          <c:idx val="4"/>
          <c:order val="2"/>
          <c:tx>
            <c:strRef>
              <c:f>'All data'!$BS$2</c:f>
              <c:strCache>
                <c:ptCount val="1"/>
                <c:pt idx="0">
                  <c:v>Na+</c:v>
                </c:pt>
              </c:strCache>
            </c:strRef>
          </c:tx>
          <c:invertIfNegative val="0"/>
          <c:cat>
            <c:strRef>
              <c:f>'All data'!$BO$19:$BO$50</c:f>
              <c:strCache>
                <c:ptCount val="31"/>
                <c:pt idx="0">
                  <c:v>Bogstadvannet</c:v>
                </c:pt>
                <c:pt idx="3">
                  <c:v>Lysakerelva</c:v>
                </c:pt>
                <c:pt idx="6">
                  <c:v>Maridalsvannet</c:v>
                </c:pt>
                <c:pt idx="9">
                  <c:v>Akerselva</c:v>
                </c:pt>
                <c:pt idx="12">
                  <c:v>Østensjøvann</c:v>
                </c:pt>
                <c:pt idx="15">
                  <c:v>Kolbotntjernet</c:v>
                </c:pt>
                <c:pt idx="18">
                  <c:v>Årungen</c:v>
                </c:pt>
                <c:pt idx="21">
                  <c:v>Gjersjøen</c:v>
                </c:pt>
                <c:pt idx="24">
                  <c:v>Sværsvann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data'!$BS$19:$BS$50</c:f>
              <c:numCache>
                <c:formatCode>0.0</c:formatCode>
                <c:ptCount val="32"/>
                <c:pt idx="0">
                  <c:v>71.458731811447109</c:v>
                </c:pt>
                <c:pt idx="3">
                  <c:v>117.0823156054133</c:v>
                </c:pt>
                <c:pt idx="6">
                  <c:v>44.38033029698353</c:v>
                </c:pt>
                <c:pt idx="9">
                  <c:v>535.55439243163823</c:v>
                </c:pt>
                <c:pt idx="12">
                  <c:v>865.37209221349849</c:v>
                </c:pt>
                <c:pt idx="15">
                  <c:v>1177.6737437304007</c:v>
                </c:pt>
                <c:pt idx="18">
                  <c:v>914.75789999890128</c:v>
                </c:pt>
                <c:pt idx="21">
                  <c:v>853.1137092147718</c:v>
                </c:pt>
                <c:pt idx="24">
                  <c:v>333.11188064302786</c:v>
                </c:pt>
                <c:pt idx="27">
                  <c:v>688.4013599815454</c:v>
                </c:pt>
                <c:pt idx="30">
                  <c:v>83.828499120810321</c:v>
                </c:pt>
              </c:numCache>
            </c:numRef>
          </c:val>
        </c:ser>
        <c:ser>
          <c:idx val="5"/>
          <c:order val="3"/>
          <c:tx>
            <c:strRef>
              <c:f>'All data'!$BT$2</c:f>
              <c:strCache>
                <c:ptCount val="1"/>
                <c:pt idx="0">
                  <c:v>K+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'All data'!$BO$19:$BO$50</c:f>
              <c:strCache>
                <c:ptCount val="31"/>
                <c:pt idx="0">
                  <c:v>Bogstadvannet</c:v>
                </c:pt>
                <c:pt idx="3">
                  <c:v>Lysakerelva</c:v>
                </c:pt>
                <c:pt idx="6">
                  <c:v>Maridalsvannet</c:v>
                </c:pt>
                <c:pt idx="9">
                  <c:v>Akerselva</c:v>
                </c:pt>
                <c:pt idx="12">
                  <c:v>Østensjøvann</c:v>
                </c:pt>
                <c:pt idx="15">
                  <c:v>Kolbotntjernet</c:v>
                </c:pt>
                <c:pt idx="18">
                  <c:v>Årungen</c:v>
                </c:pt>
                <c:pt idx="21">
                  <c:v>Gjersjøen</c:v>
                </c:pt>
                <c:pt idx="24">
                  <c:v>Sværsvann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data'!$BT$19:$BT$50</c:f>
              <c:numCache>
                <c:formatCode>0.0</c:formatCode>
                <c:ptCount val="32"/>
                <c:pt idx="0">
                  <c:v>12.13176030390896</c:v>
                </c:pt>
                <c:pt idx="3">
                  <c:v>15.541342350423452</c:v>
                </c:pt>
                <c:pt idx="6">
                  <c:v>8.3033173846536528</c:v>
                </c:pt>
                <c:pt idx="9">
                  <c:v>31.34580972580056</c:v>
                </c:pt>
                <c:pt idx="12">
                  <c:v>93.762091824651847</c:v>
                </c:pt>
                <c:pt idx="15">
                  <c:v>101.38439282045911</c:v>
                </c:pt>
                <c:pt idx="18">
                  <c:v>124.90022645860535</c:v>
                </c:pt>
                <c:pt idx="21">
                  <c:v>77.580352159784766</c:v>
                </c:pt>
                <c:pt idx="24">
                  <c:v>20.323223684205537</c:v>
                </c:pt>
                <c:pt idx="27">
                  <c:v>63.287763042585624</c:v>
                </c:pt>
                <c:pt idx="30">
                  <c:v>14.228605847811668</c:v>
                </c:pt>
              </c:numCache>
            </c:numRef>
          </c:val>
        </c:ser>
        <c:ser>
          <c:idx val="1"/>
          <c:order val="4"/>
          <c:tx>
            <c:strRef>
              <c:f>'All data'!$BP$2</c:f>
              <c:strCache>
                <c:ptCount val="1"/>
                <c:pt idx="0">
                  <c:v>H+</c:v>
                </c:pt>
              </c:strCache>
            </c:strRef>
          </c:tx>
          <c:invertIfNegative val="0"/>
          <c:cat>
            <c:strRef>
              <c:f>'All data'!$BO$19:$BO$50</c:f>
              <c:strCache>
                <c:ptCount val="31"/>
                <c:pt idx="0">
                  <c:v>Bogstadvannet</c:v>
                </c:pt>
                <c:pt idx="3">
                  <c:v>Lysakerelva</c:v>
                </c:pt>
                <c:pt idx="6">
                  <c:v>Maridalsvannet</c:v>
                </c:pt>
                <c:pt idx="9">
                  <c:v>Akerselva</c:v>
                </c:pt>
                <c:pt idx="12">
                  <c:v>Østensjøvann</c:v>
                </c:pt>
                <c:pt idx="15">
                  <c:v>Kolbotntjernet</c:v>
                </c:pt>
                <c:pt idx="18">
                  <c:v>Årungen</c:v>
                </c:pt>
                <c:pt idx="21">
                  <c:v>Gjersjøen</c:v>
                </c:pt>
                <c:pt idx="24">
                  <c:v>Sværsvann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data'!$BP$19:$BP$50</c:f>
              <c:numCache>
                <c:formatCode>0.0</c:formatCode>
                <c:ptCount val="32"/>
                <c:pt idx="0">
                  <c:v>0.14791083881682041</c:v>
                </c:pt>
                <c:pt idx="3">
                  <c:v>0.25118864315095779</c:v>
                </c:pt>
                <c:pt idx="6">
                  <c:v>0.20892961308540389</c:v>
                </c:pt>
                <c:pt idx="9">
                  <c:v>2.9512092266663778E-2</c:v>
                </c:pt>
                <c:pt idx="12">
                  <c:v>5.2480746024977189E-2</c:v>
                </c:pt>
                <c:pt idx="15">
                  <c:v>3.9810717055349568E-2</c:v>
                </c:pt>
                <c:pt idx="18">
                  <c:v>4.1686938347033513E-2</c:v>
                </c:pt>
                <c:pt idx="21">
                  <c:v>3.5481338923357426E-2</c:v>
                </c:pt>
                <c:pt idx="24">
                  <c:v>0.56234132519034874</c:v>
                </c:pt>
                <c:pt idx="27">
                  <c:v>1.5848931924611134E-2</c:v>
                </c:pt>
                <c:pt idx="30">
                  <c:v>5.8884365535558779E-2</c:v>
                </c:pt>
              </c:numCache>
            </c:numRef>
          </c:val>
        </c:ser>
        <c:ser>
          <c:idx val="11"/>
          <c:order val="5"/>
          <c:tx>
            <c:strRef>
              <c:f>'All data'!$BZ$2</c:f>
              <c:strCache>
                <c:ptCount val="1"/>
                <c:pt idx="0">
                  <c:v>Alkalinity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'All data'!$BO$19:$BO$50</c:f>
              <c:strCache>
                <c:ptCount val="31"/>
                <c:pt idx="0">
                  <c:v>Bogstadvannet</c:v>
                </c:pt>
                <c:pt idx="3">
                  <c:v>Lysakerelva</c:v>
                </c:pt>
                <c:pt idx="6">
                  <c:v>Maridalsvannet</c:v>
                </c:pt>
                <c:pt idx="9">
                  <c:v>Akerselva</c:v>
                </c:pt>
                <c:pt idx="12">
                  <c:v>Østensjøvann</c:v>
                </c:pt>
                <c:pt idx="15">
                  <c:v>Kolbotntjernet</c:v>
                </c:pt>
                <c:pt idx="18">
                  <c:v>Årungen</c:v>
                </c:pt>
                <c:pt idx="21">
                  <c:v>Gjersjøen</c:v>
                </c:pt>
                <c:pt idx="24">
                  <c:v>Sværsvann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data'!$BZ$19:$BZ$50</c:f>
              <c:numCache>
                <c:formatCode>0</c:formatCode>
                <c:ptCount val="32"/>
                <c:pt idx="1">
                  <c:v>210.30078665581024</c:v>
                </c:pt>
                <c:pt idx="4">
                  <c:v>315.150491258344</c:v>
                </c:pt>
                <c:pt idx="7">
                  <c:v>80.275484903459301</c:v>
                </c:pt>
                <c:pt idx="10">
                  <c:v>110.79899835272064</c:v>
                </c:pt>
                <c:pt idx="13">
                  <c:v>1345.4488349542421</c:v>
                </c:pt>
                <c:pt idx="16">
                  <c:v>1042.613873279319</c:v>
                </c:pt>
                <c:pt idx="19">
                  <c:v>885.03333935433432</c:v>
                </c:pt>
                <c:pt idx="22">
                  <c:v>710.70463796542924</c:v>
                </c:pt>
                <c:pt idx="25">
                  <c:v>190.72396207725149</c:v>
                </c:pt>
                <c:pt idx="28">
                  <c:v>1500.9347710876136</c:v>
                </c:pt>
                <c:pt idx="31">
                  <c:v>196.80765050898876</c:v>
                </c:pt>
              </c:numCache>
            </c:numRef>
          </c:val>
        </c:ser>
        <c:ser>
          <c:idx val="6"/>
          <c:order val="6"/>
          <c:tx>
            <c:strRef>
              <c:f>'All data'!$BU$2</c:f>
              <c:strCache>
                <c:ptCount val="1"/>
                <c:pt idx="0">
                  <c:v>SO42-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'All data'!$BO$19:$BO$50</c:f>
              <c:strCache>
                <c:ptCount val="31"/>
                <c:pt idx="0">
                  <c:v>Bogstadvannet</c:v>
                </c:pt>
                <c:pt idx="3">
                  <c:v>Lysakerelva</c:v>
                </c:pt>
                <c:pt idx="6">
                  <c:v>Maridalsvannet</c:v>
                </c:pt>
                <c:pt idx="9">
                  <c:v>Akerselva</c:v>
                </c:pt>
                <c:pt idx="12">
                  <c:v>Østensjøvann</c:v>
                </c:pt>
                <c:pt idx="15">
                  <c:v>Kolbotntjernet</c:v>
                </c:pt>
                <c:pt idx="18">
                  <c:v>Årungen</c:v>
                </c:pt>
                <c:pt idx="21">
                  <c:v>Gjersjøen</c:v>
                </c:pt>
                <c:pt idx="24">
                  <c:v>Sværsvann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data'!$BU$19:$BU$50</c:f>
              <c:numCache>
                <c:formatCode>0.0</c:formatCode>
                <c:ptCount val="32"/>
                <c:pt idx="1">
                  <c:v>62.050279145016773</c:v>
                </c:pt>
                <c:pt idx="4">
                  <c:v>98.831544636916732</c:v>
                </c:pt>
                <c:pt idx="7">
                  <c:v>42.876114277136558</c:v>
                </c:pt>
                <c:pt idx="10">
                  <c:v>140.95367723979746</c:v>
                </c:pt>
                <c:pt idx="13">
                  <c:v>392.22092432931862</c:v>
                </c:pt>
                <c:pt idx="16">
                  <c:v>443.39337188307553</c:v>
                </c:pt>
                <c:pt idx="19">
                  <c:v>279.4694203037501</c:v>
                </c:pt>
                <c:pt idx="22">
                  <c:v>370.80521221449959</c:v>
                </c:pt>
                <c:pt idx="25">
                  <c:v>55.571750129536277</c:v>
                </c:pt>
                <c:pt idx="28">
                  <c:v>149.72092421819798</c:v>
                </c:pt>
                <c:pt idx="31">
                  <c:v>177.2117085205779</c:v>
                </c:pt>
              </c:numCache>
            </c:numRef>
          </c:val>
        </c:ser>
        <c:ser>
          <c:idx val="7"/>
          <c:order val="7"/>
          <c:tx>
            <c:strRef>
              <c:f>'All data'!$BV$2</c:f>
              <c:strCache>
                <c:ptCount val="1"/>
                <c:pt idx="0">
                  <c:v>NO3-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'All data'!$BO$19:$BO$50</c:f>
              <c:strCache>
                <c:ptCount val="31"/>
                <c:pt idx="0">
                  <c:v>Bogstadvannet</c:v>
                </c:pt>
                <c:pt idx="3">
                  <c:v>Lysakerelva</c:v>
                </c:pt>
                <c:pt idx="6">
                  <c:v>Maridalsvannet</c:v>
                </c:pt>
                <c:pt idx="9">
                  <c:v>Akerselva</c:v>
                </c:pt>
                <c:pt idx="12">
                  <c:v>Østensjøvann</c:v>
                </c:pt>
                <c:pt idx="15">
                  <c:v>Kolbotntjernet</c:v>
                </c:pt>
                <c:pt idx="18">
                  <c:v>Årungen</c:v>
                </c:pt>
                <c:pt idx="21">
                  <c:v>Gjersjøen</c:v>
                </c:pt>
                <c:pt idx="24">
                  <c:v>Sværsvann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data'!$BV$19:$BV$50</c:f>
              <c:numCache>
                <c:formatCode>0.0</c:formatCode>
                <c:ptCount val="32"/>
                <c:pt idx="1">
                  <c:v>21.301952464071096</c:v>
                </c:pt>
                <c:pt idx="4">
                  <c:v>22.580694820869834</c:v>
                </c:pt>
                <c:pt idx="7">
                  <c:v>19.495707505041018</c:v>
                </c:pt>
                <c:pt idx="10">
                  <c:v>20.094584251107008</c:v>
                </c:pt>
                <c:pt idx="13">
                  <c:v>38.364176324307188</c:v>
                </c:pt>
                <c:pt idx="16">
                  <c:v>16.543371533261933</c:v>
                </c:pt>
                <c:pt idx="19">
                  <c:v>113.02145967011192</c:v>
                </c:pt>
                <c:pt idx="22">
                  <c:v>68.476355922041535</c:v>
                </c:pt>
                <c:pt idx="25">
                  <c:v>12.372140543229138</c:v>
                </c:pt>
                <c:pt idx="28">
                  <c:v>13.778463794285559</c:v>
                </c:pt>
                <c:pt idx="31">
                  <c:v>13.977359362543515</c:v>
                </c:pt>
              </c:numCache>
            </c:numRef>
          </c:val>
        </c:ser>
        <c:ser>
          <c:idx val="8"/>
          <c:order val="8"/>
          <c:tx>
            <c:strRef>
              <c:f>'All data'!$BW$2</c:f>
              <c:strCache>
                <c:ptCount val="1"/>
                <c:pt idx="0">
                  <c:v>Cl-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'All data'!$BO$19:$BO$50</c:f>
              <c:strCache>
                <c:ptCount val="31"/>
                <c:pt idx="0">
                  <c:v>Bogstadvannet</c:v>
                </c:pt>
                <c:pt idx="3">
                  <c:v>Lysakerelva</c:v>
                </c:pt>
                <c:pt idx="6">
                  <c:v>Maridalsvannet</c:v>
                </c:pt>
                <c:pt idx="9">
                  <c:v>Akerselva</c:v>
                </c:pt>
                <c:pt idx="12">
                  <c:v>Østensjøvann</c:v>
                </c:pt>
                <c:pt idx="15">
                  <c:v>Kolbotntjernet</c:v>
                </c:pt>
                <c:pt idx="18">
                  <c:v>Årungen</c:v>
                </c:pt>
                <c:pt idx="21">
                  <c:v>Gjersjøen</c:v>
                </c:pt>
                <c:pt idx="24">
                  <c:v>Sværsvann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data'!$BW$19:$BW$50</c:f>
              <c:numCache>
                <c:formatCode>0</c:formatCode>
                <c:ptCount val="32"/>
                <c:pt idx="1">
                  <c:v>74.084981268839016</c:v>
                </c:pt>
                <c:pt idx="4">
                  <c:v>104.5369364671419</c:v>
                </c:pt>
                <c:pt idx="7">
                  <c:v>45.668162762036026</c:v>
                </c:pt>
                <c:pt idx="10">
                  <c:v>466.43887578643898</c:v>
                </c:pt>
                <c:pt idx="13">
                  <c:v>709.07492764518429</c:v>
                </c:pt>
                <c:pt idx="16">
                  <c:v>1182.8447303508256</c:v>
                </c:pt>
                <c:pt idx="19">
                  <c:v>983.78169547252264</c:v>
                </c:pt>
                <c:pt idx="22">
                  <c:v>881.5829104718398</c:v>
                </c:pt>
                <c:pt idx="25">
                  <c:v>309.12904511492502</c:v>
                </c:pt>
                <c:pt idx="28">
                  <c:v>374.51644392192884</c:v>
                </c:pt>
                <c:pt idx="31">
                  <c:v>76.051344573766841</c:v>
                </c:pt>
              </c:numCache>
            </c:numRef>
          </c:val>
        </c:ser>
        <c:ser>
          <c:idx val="9"/>
          <c:order val="9"/>
          <c:tx>
            <c:strRef>
              <c:f>'All data'!$BX$2</c:f>
              <c:strCache>
                <c:ptCount val="1"/>
                <c:pt idx="0">
                  <c:v>Tot-F</c:v>
                </c:pt>
              </c:strCache>
            </c:strRef>
          </c:tx>
          <c:invertIfNegative val="0"/>
          <c:cat>
            <c:strRef>
              <c:f>'All data'!$BO$19:$BO$50</c:f>
              <c:strCache>
                <c:ptCount val="31"/>
                <c:pt idx="0">
                  <c:v>Bogstadvannet</c:v>
                </c:pt>
                <c:pt idx="3">
                  <c:v>Lysakerelva</c:v>
                </c:pt>
                <c:pt idx="6">
                  <c:v>Maridalsvannet</c:v>
                </c:pt>
                <c:pt idx="9">
                  <c:v>Akerselva</c:v>
                </c:pt>
                <c:pt idx="12">
                  <c:v>Østensjøvann</c:v>
                </c:pt>
                <c:pt idx="15">
                  <c:v>Kolbotntjernet</c:v>
                </c:pt>
                <c:pt idx="18">
                  <c:v>Årungen</c:v>
                </c:pt>
                <c:pt idx="21">
                  <c:v>Gjersjøen</c:v>
                </c:pt>
                <c:pt idx="24">
                  <c:v>Sværsvann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data'!$BX$19:$BX$47</c:f>
              <c:numCache>
                <c:formatCode>0</c:formatCode>
                <c:ptCount val="29"/>
                <c:pt idx="1">
                  <c:v>4.1231549006771813</c:v>
                </c:pt>
                <c:pt idx="4">
                  <c:v>4.3760855852845566</c:v>
                </c:pt>
                <c:pt idx="7">
                  <c:v>3.5626360733597537</c:v>
                </c:pt>
                <c:pt idx="10">
                  <c:v>4.5810414681776477</c:v>
                </c:pt>
                <c:pt idx="13">
                  <c:v>7.3025829958268194</c:v>
                </c:pt>
                <c:pt idx="16">
                  <c:v>7.3131667439393659</c:v>
                </c:pt>
                <c:pt idx="19">
                  <c:v>12.943055541371958</c:v>
                </c:pt>
                <c:pt idx="22">
                  <c:v>7.9284829702419604</c:v>
                </c:pt>
                <c:pt idx="25">
                  <c:v>3.2991503956156878</c:v>
                </c:pt>
                <c:pt idx="28">
                  <c:v>3.5946633654655851</c:v>
                </c:pt>
              </c:numCache>
            </c:numRef>
          </c:val>
        </c:ser>
        <c:ser>
          <c:idx val="10"/>
          <c:order val="10"/>
          <c:tx>
            <c:strRef>
              <c:f>'All data'!$BY$2</c:f>
              <c:strCache>
                <c:ptCount val="1"/>
                <c:pt idx="0">
                  <c:v>PO43-</c:v>
                </c:pt>
              </c:strCache>
            </c:strRef>
          </c:tx>
          <c:invertIfNegative val="0"/>
          <c:cat>
            <c:strRef>
              <c:f>'All data'!$BO$19:$BO$50</c:f>
              <c:strCache>
                <c:ptCount val="31"/>
                <c:pt idx="0">
                  <c:v>Bogstadvannet</c:v>
                </c:pt>
                <c:pt idx="3">
                  <c:v>Lysakerelva</c:v>
                </c:pt>
                <c:pt idx="6">
                  <c:v>Maridalsvannet</c:v>
                </c:pt>
                <c:pt idx="9">
                  <c:v>Akerselva</c:v>
                </c:pt>
                <c:pt idx="12">
                  <c:v>Østensjøvann</c:v>
                </c:pt>
                <c:pt idx="15">
                  <c:v>Kolbotntjernet</c:v>
                </c:pt>
                <c:pt idx="18">
                  <c:v>Årungen</c:v>
                </c:pt>
                <c:pt idx="21">
                  <c:v>Gjersjøen</c:v>
                </c:pt>
                <c:pt idx="24">
                  <c:v>Sværsvann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data'!$BY$19:$BY$47</c:f>
              <c:numCache>
                <c:formatCode>0.00</c:formatCode>
                <c:ptCount val="29"/>
                <c:pt idx="1">
                  <c:v>6.3125315654440697E-2</c:v>
                </c:pt>
                <c:pt idx="4">
                  <c:v>0.13831398612250556</c:v>
                </c:pt>
                <c:pt idx="7">
                  <c:v>1.2999535342397457E-2</c:v>
                </c:pt>
                <c:pt idx="10">
                  <c:v>1.8425905167319754</c:v>
                </c:pt>
                <c:pt idx="13">
                  <c:v>2.9704205737529485</c:v>
                </c:pt>
                <c:pt idx="16">
                  <c:v>0.68969756955498118</c:v>
                </c:pt>
                <c:pt idx="19">
                  <c:v>0.51425733846282995</c:v>
                </c:pt>
                <c:pt idx="22">
                  <c:v>0.13831398612250556</c:v>
                </c:pt>
                <c:pt idx="25">
                  <c:v>6.3125315654440697E-2</c:v>
                </c:pt>
                <c:pt idx="28">
                  <c:v>1.2999535342397457E-2</c:v>
                </c:pt>
              </c:numCache>
            </c:numRef>
          </c:val>
        </c:ser>
        <c:ser>
          <c:idx val="0"/>
          <c:order val="11"/>
          <c:tx>
            <c:strRef>
              <c:f>'All data'!$BM$2</c:f>
              <c:strCache>
                <c:ptCount val="1"/>
                <c:pt idx="0">
                  <c:v>Org. charge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'All data'!$BO$19:$BO$50</c:f>
              <c:strCache>
                <c:ptCount val="31"/>
                <c:pt idx="0">
                  <c:v>Bogstadvannet</c:v>
                </c:pt>
                <c:pt idx="3">
                  <c:v>Lysakerelva</c:v>
                </c:pt>
                <c:pt idx="6">
                  <c:v>Maridalsvannet</c:v>
                </c:pt>
                <c:pt idx="9">
                  <c:v>Akerselva</c:v>
                </c:pt>
                <c:pt idx="12">
                  <c:v>Østensjøvann</c:v>
                </c:pt>
                <c:pt idx="15">
                  <c:v>Kolbotntjernet</c:v>
                </c:pt>
                <c:pt idx="18">
                  <c:v>Årungen</c:v>
                </c:pt>
                <c:pt idx="21">
                  <c:v>Gjersjøen</c:v>
                </c:pt>
                <c:pt idx="24">
                  <c:v>Sværsvann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data'!$CA$19:$CA$50</c:f>
              <c:numCache>
                <c:formatCode>0</c:formatCode>
                <c:ptCount val="32"/>
                <c:pt idx="1">
                  <c:v>35.587094755821454</c:v>
                </c:pt>
                <c:pt idx="4">
                  <c:v>34.578714750085958</c:v>
                </c:pt>
                <c:pt idx="7">
                  <c:v>25.30793431239659</c:v>
                </c:pt>
                <c:pt idx="10">
                  <c:v>37.616236566537999</c:v>
                </c:pt>
                <c:pt idx="13">
                  <c:v>37.892939998085922</c:v>
                </c:pt>
                <c:pt idx="16">
                  <c:v>29.316482083177629</c:v>
                </c:pt>
                <c:pt idx="19">
                  <c:v>39.199448857942386</c:v>
                </c:pt>
                <c:pt idx="22">
                  <c:v>28.632285105479664</c:v>
                </c:pt>
                <c:pt idx="25">
                  <c:v>10.352542844677746</c:v>
                </c:pt>
                <c:pt idx="28">
                  <c:v>23.627814299599386</c:v>
                </c:pt>
                <c:pt idx="31">
                  <c:v>42.18386350946912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46595840"/>
        <c:axId val="146597376"/>
      </c:barChart>
      <c:catAx>
        <c:axId val="146595840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146597376"/>
        <c:crosses val="autoZero"/>
        <c:auto val="1"/>
        <c:lblAlgn val="ctr"/>
        <c:lblOffset val="100"/>
        <c:noMultiLvlLbl val="0"/>
      </c:catAx>
      <c:valAx>
        <c:axId val="1465973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ueq/L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46595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191277687904004"/>
          <c:y val="1.2584919112937746E-2"/>
          <c:w val="0.73654974875582557"/>
          <c:h val="9.142330371747860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8.2338801399825023E-2"/>
                  <c:y val="0.42545129775444734"/>
                </c:manualLayout>
              </c:layout>
              <c:numFmt formatCode="General" sourceLinked="0"/>
            </c:trendlineLbl>
          </c:trendline>
          <c:xVal>
            <c:numRef>
              <c:f>'All data'!$U$4:$U$14</c:f>
              <c:numCache>
                <c:formatCode>0.00</c:formatCode>
                <c:ptCount val="11"/>
                <c:pt idx="0">
                  <c:v>8.7913269088213486</c:v>
                </c:pt>
                <c:pt idx="1">
                  <c:v>7.3843587842846548</c:v>
                </c:pt>
                <c:pt idx="2">
                  <c:v>4.1823573017049664</c:v>
                </c:pt>
                <c:pt idx="3">
                  <c:v>42.556338028169016</c:v>
                </c:pt>
                <c:pt idx="4">
                  <c:v>5.7679762787249818</c:v>
                </c:pt>
                <c:pt idx="5">
                  <c:v>3.3947368421052633</c:v>
                </c:pt>
                <c:pt idx="6">
                  <c:v>1.8206078576723497</c:v>
                </c:pt>
                <c:pt idx="7">
                  <c:v>7.6189770200148255</c:v>
                </c:pt>
                <c:pt idx="8">
                  <c:v>7.8914010378057817</c:v>
                </c:pt>
                <c:pt idx="9">
                  <c:v>1.2961452928094885</c:v>
                </c:pt>
                <c:pt idx="10">
                  <c:v>1.5259451445515197</c:v>
                </c:pt>
              </c:numCache>
            </c:numRef>
          </c:xVal>
          <c:yVal>
            <c:numRef>
              <c:f>'All data'!$V$4:$V$14</c:f>
              <c:numCache>
                <c:formatCode>0.00</c:formatCode>
                <c:ptCount val="11"/>
                <c:pt idx="0">
                  <c:v>5.8655206374787356</c:v>
                </c:pt>
                <c:pt idx="1">
                  <c:v>5.2704807950577486</c:v>
                </c:pt>
                <c:pt idx="2">
                  <c:v>1.2609902408451965</c:v>
                </c:pt>
                <c:pt idx="3">
                  <c:v>18.229026770525561</c:v>
                </c:pt>
                <c:pt idx="4">
                  <c:v>4.1287492165816095</c:v>
                </c:pt>
                <c:pt idx="5">
                  <c:v>2.7800161160354553</c:v>
                </c:pt>
                <c:pt idx="6">
                  <c:v>2.0707314889426089</c:v>
                </c:pt>
                <c:pt idx="7">
                  <c:v>8.7200286507296987</c:v>
                </c:pt>
                <c:pt idx="8">
                  <c:v>7.5278001611603544</c:v>
                </c:pt>
                <c:pt idx="9">
                  <c:v>0.69818246933476591</c:v>
                </c:pt>
                <c:pt idx="10">
                  <c:v>2.011818426000537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317312"/>
        <c:axId val="148319232"/>
      </c:scatterChart>
      <c:valAx>
        <c:axId val="148317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 (ug/L)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48319232"/>
        <c:crosses val="autoZero"/>
        <c:crossBetween val="midCat"/>
      </c:valAx>
      <c:valAx>
        <c:axId val="1483192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Fe (ug/L)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483173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Heavy metals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'All data'!$Z$2</c:f>
              <c:strCache>
                <c:ptCount val="1"/>
                <c:pt idx="0">
                  <c:v>Zn</c:v>
                </c:pt>
              </c:strCache>
            </c:strRef>
          </c:tx>
          <c:invertIfNegative val="0"/>
          <c:cat>
            <c:strRef>
              <c:f>'All data'!$C$4:$C$14</c:f>
              <c:strCache>
                <c:ptCount val="11"/>
                <c:pt idx="0">
                  <c:v>Bogstadvannet</c:v>
                </c:pt>
                <c:pt idx="1">
                  <c:v>Lysakerelva</c:v>
                </c:pt>
                <c:pt idx="2">
                  <c:v>Maridalsvannet</c:v>
                </c:pt>
                <c:pt idx="3">
                  <c:v>Akerselva</c:v>
                </c:pt>
                <c:pt idx="4">
                  <c:v>Årungen</c:v>
                </c:pt>
                <c:pt idx="5">
                  <c:v>Gjersjøen</c:v>
                </c:pt>
                <c:pt idx="6">
                  <c:v>Kolbotntjernet</c:v>
                </c:pt>
                <c:pt idx="7">
                  <c:v>Sværsvann</c:v>
                </c:pt>
                <c:pt idx="8">
                  <c:v>Østensjøvann</c:v>
                </c:pt>
                <c:pt idx="9">
                  <c:v>Lutvann</c:v>
                </c:pt>
                <c:pt idx="10">
                  <c:v>Nesøytjernet</c:v>
                </c:pt>
              </c:strCache>
            </c:strRef>
          </c:cat>
          <c:val>
            <c:numRef>
              <c:f>'All data'!$Z$4:$Z$14</c:f>
              <c:numCache>
                <c:formatCode>0.000</c:formatCode>
                <c:ptCount val="11"/>
                <c:pt idx="0">
                  <c:v>5.7815845824411134E-2</c:v>
                </c:pt>
                <c:pt idx="1">
                  <c:v>4.8944631385744883E-2</c:v>
                </c:pt>
                <c:pt idx="2">
                  <c:v>6.1945549097583361E-2</c:v>
                </c:pt>
                <c:pt idx="3">
                  <c:v>0.15784643621902725</c:v>
                </c:pt>
                <c:pt idx="4">
                  <c:v>1.4683389415723464E-2</c:v>
                </c:pt>
                <c:pt idx="5">
                  <c:v>1.6977669011930256E-2</c:v>
                </c:pt>
                <c:pt idx="6">
                  <c:v>2.126032425818293E-2</c:v>
                </c:pt>
                <c:pt idx="7">
                  <c:v>4.6497399816457639E-2</c:v>
                </c:pt>
                <c:pt idx="8">
                  <c:v>3.9920464973998163E-2</c:v>
                </c:pt>
                <c:pt idx="9">
                  <c:v>2.4625267665952893E-2</c:v>
                </c:pt>
                <c:pt idx="10">
                  <c:v>8.5653104925053555E-3</c:v>
                </c:pt>
              </c:numCache>
            </c:numRef>
          </c:val>
        </c:ser>
        <c:ser>
          <c:idx val="2"/>
          <c:order val="1"/>
          <c:tx>
            <c:strRef>
              <c:f>'All data'!$Y$2</c:f>
              <c:strCache>
                <c:ptCount val="1"/>
                <c:pt idx="0">
                  <c:v>Cu</c:v>
                </c:pt>
              </c:strCache>
            </c:strRef>
          </c:tx>
          <c:invertIfNegative val="0"/>
          <c:cat>
            <c:strRef>
              <c:f>'All data'!$C$4:$C$14</c:f>
              <c:strCache>
                <c:ptCount val="11"/>
                <c:pt idx="0">
                  <c:v>Bogstadvannet</c:v>
                </c:pt>
                <c:pt idx="1">
                  <c:v>Lysakerelva</c:v>
                </c:pt>
                <c:pt idx="2">
                  <c:v>Maridalsvannet</c:v>
                </c:pt>
                <c:pt idx="3">
                  <c:v>Akerselva</c:v>
                </c:pt>
                <c:pt idx="4">
                  <c:v>Årungen</c:v>
                </c:pt>
                <c:pt idx="5">
                  <c:v>Gjersjøen</c:v>
                </c:pt>
                <c:pt idx="6">
                  <c:v>Kolbotntjernet</c:v>
                </c:pt>
                <c:pt idx="7">
                  <c:v>Sværsvann</c:v>
                </c:pt>
                <c:pt idx="8">
                  <c:v>Østensjøvann</c:v>
                </c:pt>
                <c:pt idx="9">
                  <c:v>Lutvann</c:v>
                </c:pt>
                <c:pt idx="10">
                  <c:v>Nesøytjernet</c:v>
                </c:pt>
              </c:strCache>
            </c:strRef>
          </c:cat>
          <c:val>
            <c:numRef>
              <c:f>'All data'!$Y$4:$Y$14</c:f>
              <c:numCache>
                <c:formatCode>0.000</c:formatCode>
                <c:ptCount val="11"/>
                <c:pt idx="0">
                  <c:v>1.4949800144777011E-2</c:v>
                </c:pt>
                <c:pt idx="1">
                  <c:v>1.7152928587165203E-2</c:v>
                </c:pt>
                <c:pt idx="2">
                  <c:v>1.3533503288956032E-2</c:v>
                </c:pt>
                <c:pt idx="3">
                  <c:v>5.2402983665376261E-2</c:v>
                </c:pt>
                <c:pt idx="4">
                  <c:v>4.4849400434331041E-2</c:v>
                </c:pt>
                <c:pt idx="5">
                  <c:v>4.2174173040002517E-2</c:v>
                </c:pt>
                <c:pt idx="6">
                  <c:v>3.1158530828061561E-2</c:v>
                </c:pt>
                <c:pt idx="7">
                  <c:v>1.5421899096717338E-2</c:v>
                </c:pt>
                <c:pt idx="8">
                  <c:v>4.6265697290152015E-2</c:v>
                </c:pt>
                <c:pt idx="9">
                  <c:v>9.2846127214930921E-3</c:v>
                </c:pt>
                <c:pt idx="10">
                  <c:v>1.2117206433135052E-2</c:v>
                </c:pt>
              </c:numCache>
            </c:numRef>
          </c:val>
        </c:ser>
        <c:ser>
          <c:idx val="0"/>
          <c:order val="2"/>
          <c:tx>
            <c:strRef>
              <c:f>'All data'!$X$2</c:f>
              <c:strCache>
                <c:ptCount val="1"/>
                <c:pt idx="0">
                  <c:v>Cr</c:v>
                </c:pt>
              </c:strCache>
            </c:strRef>
          </c:tx>
          <c:invertIfNegative val="0"/>
          <c:cat>
            <c:strRef>
              <c:f>'All data'!$C$4:$C$14</c:f>
              <c:strCache>
                <c:ptCount val="11"/>
                <c:pt idx="0">
                  <c:v>Bogstadvannet</c:v>
                </c:pt>
                <c:pt idx="1">
                  <c:v>Lysakerelva</c:v>
                </c:pt>
                <c:pt idx="2">
                  <c:v>Maridalsvannet</c:v>
                </c:pt>
                <c:pt idx="3">
                  <c:v>Akerselva</c:v>
                </c:pt>
                <c:pt idx="4">
                  <c:v>Årungen</c:v>
                </c:pt>
                <c:pt idx="5">
                  <c:v>Gjersjøen</c:v>
                </c:pt>
                <c:pt idx="6">
                  <c:v>Kolbotntjernet</c:v>
                </c:pt>
                <c:pt idx="7">
                  <c:v>Sværsvann</c:v>
                </c:pt>
                <c:pt idx="8">
                  <c:v>Østensjøvann</c:v>
                </c:pt>
                <c:pt idx="9">
                  <c:v>Lutvann</c:v>
                </c:pt>
                <c:pt idx="10">
                  <c:v>Nesøytjernet</c:v>
                </c:pt>
              </c:strCache>
            </c:strRef>
          </c:cat>
          <c:val>
            <c:numRef>
              <c:f>'All data'!$X$4:$X$14</c:f>
              <c:numCache>
                <c:formatCode>0.000</c:formatCode>
                <c:ptCount val="11"/>
                <c:pt idx="0">
                  <c:v>9.4237837068549372E-3</c:v>
                </c:pt>
                <c:pt idx="1">
                  <c:v>1.0193072172720648E-2</c:v>
                </c:pt>
                <c:pt idx="2">
                  <c:v>6.7312740763249548E-3</c:v>
                </c:pt>
                <c:pt idx="3">
                  <c:v>5.6542702241129623E-2</c:v>
                </c:pt>
                <c:pt idx="4">
                  <c:v>2.9425283819363376E-2</c:v>
                </c:pt>
                <c:pt idx="5">
                  <c:v>3.0194572285229086E-2</c:v>
                </c:pt>
                <c:pt idx="6">
                  <c:v>2.5386519373568405E-2</c:v>
                </c:pt>
                <c:pt idx="7">
                  <c:v>2.0193822228974867E-2</c:v>
                </c:pt>
                <c:pt idx="8">
                  <c:v>2.6732774188833391E-2</c:v>
                </c:pt>
                <c:pt idx="9">
                  <c:v>5.5773413775263908E-3</c:v>
                </c:pt>
                <c:pt idx="10">
                  <c:v>1.077003852211993E-2</c:v>
                </c:pt>
              </c:numCache>
            </c:numRef>
          </c:val>
        </c:ser>
        <c:ser>
          <c:idx val="4"/>
          <c:order val="3"/>
          <c:tx>
            <c:strRef>
              <c:f>'All data'!$AA$2</c:f>
              <c:strCache>
                <c:ptCount val="1"/>
                <c:pt idx="0">
                  <c:v>Cd</c:v>
                </c:pt>
              </c:strCache>
            </c:strRef>
          </c:tx>
          <c:invertIfNegative val="0"/>
          <c:cat>
            <c:strRef>
              <c:f>'All data'!$C$4:$C$14</c:f>
              <c:strCache>
                <c:ptCount val="11"/>
                <c:pt idx="0">
                  <c:v>Bogstadvannet</c:v>
                </c:pt>
                <c:pt idx="1">
                  <c:v>Lysakerelva</c:v>
                </c:pt>
                <c:pt idx="2">
                  <c:v>Maridalsvannet</c:v>
                </c:pt>
                <c:pt idx="3">
                  <c:v>Akerselva</c:v>
                </c:pt>
                <c:pt idx="4">
                  <c:v>Årungen</c:v>
                </c:pt>
                <c:pt idx="5">
                  <c:v>Gjersjøen</c:v>
                </c:pt>
                <c:pt idx="6">
                  <c:v>Kolbotntjernet</c:v>
                </c:pt>
                <c:pt idx="7">
                  <c:v>Sværsvann</c:v>
                </c:pt>
                <c:pt idx="8">
                  <c:v>Østensjøvann</c:v>
                </c:pt>
                <c:pt idx="9">
                  <c:v>Lutvann</c:v>
                </c:pt>
                <c:pt idx="10">
                  <c:v>Nesøytjernet</c:v>
                </c:pt>
              </c:strCache>
            </c:strRef>
          </c:cat>
          <c:val>
            <c:numRef>
              <c:f>'All data'!$AA$4:$AA$14</c:f>
              <c:numCache>
                <c:formatCode>0.000</c:formatCode>
                <c:ptCount val="11"/>
                <c:pt idx="0">
                  <c:v>1.7791853110460721E-4</c:v>
                </c:pt>
                <c:pt idx="1">
                  <c:v>8.8959265552303603E-5</c:v>
                </c:pt>
                <c:pt idx="2">
                  <c:v>1.7791853110460721E-4</c:v>
                </c:pt>
                <c:pt idx="3">
                  <c:v>3.5583706220921441E-4</c:v>
                </c:pt>
                <c:pt idx="4">
                  <c:v>1.7791853110460721E-4</c:v>
                </c:pt>
                <c:pt idx="5">
                  <c:v>8.8959265552303603E-5</c:v>
                </c:pt>
                <c:pt idx="6">
                  <c:v>8.8959265552303603E-5</c:v>
                </c:pt>
                <c:pt idx="7">
                  <c:v>8.8959265552303603E-5</c:v>
                </c:pt>
                <c:pt idx="8">
                  <c:v>8.8959265552303603E-5</c:v>
                </c:pt>
                <c:pt idx="9">
                  <c:v>8.8959265552303603E-5</c:v>
                </c:pt>
                <c:pt idx="10">
                  <c:v>8.8959265552303603E-5</c:v>
                </c:pt>
              </c:numCache>
            </c:numRef>
          </c:val>
        </c:ser>
        <c:ser>
          <c:idx val="5"/>
          <c:order val="4"/>
          <c:tx>
            <c:strRef>
              <c:f>'All data'!$AB$2</c:f>
              <c:strCache>
                <c:ptCount val="1"/>
                <c:pt idx="0">
                  <c:v>Sn</c:v>
                </c:pt>
              </c:strCache>
            </c:strRef>
          </c:tx>
          <c:invertIfNegative val="0"/>
          <c:cat>
            <c:strRef>
              <c:f>'All data'!$C$4:$C$14</c:f>
              <c:strCache>
                <c:ptCount val="11"/>
                <c:pt idx="0">
                  <c:v>Bogstadvannet</c:v>
                </c:pt>
                <c:pt idx="1">
                  <c:v>Lysakerelva</c:v>
                </c:pt>
                <c:pt idx="2">
                  <c:v>Maridalsvannet</c:v>
                </c:pt>
                <c:pt idx="3">
                  <c:v>Akerselva</c:v>
                </c:pt>
                <c:pt idx="4">
                  <c:v>Årungen</c:v>
                </c:pt>
                <c:pt idx="5">
                  <c:v>Gjersjøen</c:v>
                </c:pt>
                <c:pt idx="6">
                  <c:v>Kolbotntjernet</c:v>
                </c:pt>
                <c:pt idx="7">
                  <c:v>Sværsvann</c:v>
                </c:pt>
                <c:pt idx="8">
                  <c:v>Østensjøvann</c:v>
                </c:pt>
                <c:pt idx="9">
                  <c:v>Lutvann</c:v>
                </c:pt>
                <c:pt idx="10">
                  <c:v>Nesøytjernet</c:v>
                </c:pt>
              </c:strCache>
            </c:strRef>
          </c:cat>
          <c:val>
            <c:numRef>
              <c:f>'All data'!$AB$4:$AB$14</c:f>
              <c:numCache>
                <c:formatCode>0.000</c:formatCode>
                <c:ptCount val="11"/>
                <c:pt idx="0">
                  <c:v>3.369556060988965E-4</c:v>
                </c:pt>
                <c:pt idx="1">
                  <c:v>3.369556060988965E-4</c:v>
                </c:pt>
                <c:pt idx="2">
                  <c:v>2.5271670457417233E-4</c:v>
                </c:pt>
                <c:pt idx="3">
                  <c:v>1.0108668182966893E-3</c:v>
                </c:pt>
                <c:pt idx="4">
                  <c:v>2.5271670457417233E-4</c:v>
                </c:pt>
                <c:pt idx="5">
                  <c:v>2.5271670457417233E-4</c:v>
                </c:pt>
                <c:pt idx="6">
                  <c:v>2.5271670457417233E-4</c:v>
                </c:pt>
                <c:pt idx="7">
                  <c:v>5.0543340914834466E-4</c:v>
                </c:pt>
                <c:pt idx="8">
                  <c:v>3.369556060988965E-4</c:v>
                </c:pt>
                <c:pt idx="9">
                  <c:v>1.6847780304944825E-4</c:v>
                </c:pt>
                <c:pt idx="10">
                  <c:v>1.6847780304944825E-4</c:v>
                </c:pt>
              </c:numCache>
            </c:numRef>
          </c:val>
        </c:ser>
        <c:ser>
          <c:idx val="6"/>
          <c:order val="5"/>
          <c:tx>
            <c:strRef>
              <c:f>'All data'!$AC$2</c:f>
              <c:strCache>
                <c:ptCount val="1"/>
                <c:pt idx="0">
                  <c:v>Pb</c:v>
                </c:pt>
              </c:strCache>
            </c:strRef>
          </c:tx>
          <c:invertIfNegative val="0"/>
          <c:cat>
            <c:strRef>
              <c:f>'All data'!$C$4:$C$14</c:f>
              <c:strCache>
                <c:ptCount val="11"/>
                <c:pt idx="0">
                  <c:v>Bogstadvannet</c:v>
                </c:pt>
                <c:pt idx="1">
                  <c:v>Lysakerelva</c:v>
                </c:pt>
                <c:pt idx="2">
                  <c:v>Maridalsvannet</c:v>
                </c:pt>
                <c:pt idx="3">
                  <c:v>Akerselva</c:v>
                </c:pt>
                <c:pt idx="4">
                  <c:v>Årungen</c:v>
                </c:pt>
                <c:pt idx="5">
                  <c:v>Gjersjøen</c:v>
                </c:pt>
                <c:pt idx="6">
                  <c:v>Kolbotntjernet</c:v>
                </c:pt>
                <c:pt idx="7">
                  <c:v>Sværsvann</c:v>
                </c:pt>
                <c:pt idx="8">
                  <c:v>Østensjøvann</c:v>
                </c:pt>
                <c:pt idx="9">
                  <c:v>Lutvann</c:v>
                </c:pt>
                <c:pt idx="10">
                  <c:v>Nesøytjernet</c:v>
                </c:pt>
              </c:strCache>
            </c:strRef>
          </c:cat>
          <c:val>
            <c:numRef>
              <c:f>'All data'!$AC$4:$AC$14</c:f>
              <c:numCache>
                <c:formatCode>0.000</c:formatCode>
                <c:ptCount val="11"/>
                <c:pt idx="0">
                  <c:v>3.3201779114201591E-3</c:v>
                </c:pt>
                <c:pt idx="1">
                  <c:v>2.4431497838752116E-3</c:v>
                </c:pt>
                <c:pt idx="2">
                  <c:v>2.1299254526091584E-3</c:v>
                </c:pt>
                <c:pt idx="3">
                  <c:v>1.6381632525214559E-2</c:v>
                </c:pt>
                <c:pt idx="4">
                  <c:v>1.9106684207229217E-3</c:v>
                </c:pt>
                <c:pt idx="5">
                  <c:v>1.7227338219632901E-3</c:v>
                </c:pt>
                <c:pt idx="6">
                  <c:v>9.3967299379815836E-4</c:v>
                </c:pt>
                <c:pt idx="7">
                  <c:v>2.3805049176220013E-3</c:v>
                </c:pt>
                <c:pt idx="8">
                  <c:v>3.7273695420660278E-3</c:v>
                </c:pt>
                <c:pt idx="9">
                  <c:v>6.264486625321055E-4</c:v>
                </c:pt>
                <c:pt idx="10">
                  <c:v>7.2041596191192139E-4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48360192"/>
        <c:axId val="148378368"/>
      </c:barChart>
      <c:catAx>
        <c:axId val="1483601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48378368"/>
        <c:crosses val="autoZero"/>
        <c:auto val="1"/>
        <c:lblAlgn val="ctr"/>
        <c:lblOffset val="100"/>
        <c:noMultiLvlLbl val="0"/>
      </c:catAx>
      <c:valAx>
        <c:axId val="148378368"/>
        <c:scaling>
          <c:orientation val="minMax"/>
        </c:scaling>
        <c:delete val="0"/>
        <c:axPos val="l"/>
        <c:numFmt formatCode="0.00" sourceLinked="0"/>
        <c:majorTickMark val="none"/>
        <c:minorTickMark val="none"/>
        <c:tickLblPos val="nextTo"/>
        <c:crossAx val="148360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68848817605553"/>
          <c:y val="5.1400554097404488E-2"/>
          <c:w val="0.78629438100099514"/>
          <c:h val="0.7344480898221055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8.2338801399825023E-2"/>
                  <c:y val="0.42545129775444734"/>
                </c:manualLayout>
              </c:layout>
              <c:numFmt formatCode="General" sourceLinked="0"/>
            </c:trendlineLbl>
          </c:trendline>
          <c:xVal>
            <c:numRef>
              <c:f>'All data'!$W$4:$W$14</c:f>
              <c:numCache>
                <c:formatCode>0.00</c:formatCode>
                <c:ptCount val="11"/>
                <c:pt idx="0">
                  <c:v>0.67494266263788261</c:v>
                </c:pt>
                <c:pt idx="1">
                  <c:v>0.33965561178055259</c:v>
                </c:pt>
                <c:pt idx="2">
                  <c:v>0.12013542538861989</c:v>
                </c:pt>
                <c:pt idx="3">
                  <c:v>0.4341257417452401</c:v>
                </c:pt>
                <c:pt idx="4">
                  <c:v>1.0564636499326512</c:v>
                </c:pt>
                <c:pt idx="5">
                  <c:v>0.20459426990425569</c:v>
                </c:pt>
                <c:pt idx="6">
                  <c:v>0.7322800247551785</c:v>
                </c:pt>
                <c:pt idx="7">
                  <c:v>0.76103971749972699</c:v>
                </c:pt>
                <c:pt idx="8">
                  <c:v>0.97291492227602028</c:v>
                </c:pt>
                <c:pt idx="9">
                  <c:v>3.0943973206159669E-2</c:v>
                </c:pt>
                <c:pt idx="10">
                  <c:v>0.10630164913174851</c:v>
                </c:pt>
              </c:numCache>
            </c:numRef>
          </c:xVal>
          <c:yVal>
            <c:numRef>
              <c:f>'All data'!$V$4:$V$14</c:f>
              <c:numCache>
                <c:formatCode>0.00</c:formatCode>
                <c:ptCount val="11"/>
                <c:pt idx="0">
                  <c:v>5.8655206374787356</c:v>
                </c:pt>
                <c:pt idx="1">
                  <c:v>5.2704807950577486</c:v>
                </c:pt>
                <c:pt idx="2">
                  <c:v>1.2609902408451965</c:v>
                </c:pt>
                <c:pt idx="3">
                  <c:v>18.229026770525561</c:v>
                </c:pt>
                <c:pt idx="4">
                  <c:v>4.1287492165816095</c:v>
                </c:pt>
                <c:pt idx="5">
                  <c:v>2.7800161160354553</c:v>
                </c:pt>
                <c:pt idx="6">
                  <c:v>2.0707314889426089</c:v>
                </c:pt>
                <c:pt idx="7">
                  <c:v>8.7200286507296987</c:v>
                </c:pt>
                <c:pt idx="8">
                  <c:v>7.5278001611603544</c:v>
                </c:pt>
                <c:pt idx="9">
                  <c:v>0.69818246933476591</c:v>
                </c:pt>
                <c:pt idx="10">
                  <c:v>2.011818426000537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400000"/>
        <c:axId val="148406272"/>
      </c:scatterChart>
      <c:valAx>
        <c:axId val="148400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Mn (ug/L)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148406272"/>
        <c:crosses val="autoZero"/>
        <c:crossBetween val="midCat"/>
      </c:valAx>
      <c:valAx>
        <c:axId val="1484062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Fe (ug/L)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484000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Aluminium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628346456692913"/>
          <c:y val="0.16251166520851559"/>
          <c:w val="0.81670297462817143"/>
          <c:h val="0.53014836687080769"/>
        </c:manualLayout>
      </c:layout>
      <c:barChart>
        <c:barDir val="col"/>
        <c:grouping val="percentStacked"/>
        <c:varyColors val="0"/>
        <c:ser>
          <c:idx val="1"/>
          <c:order val="0"/>
          <c:tx>
            <c:v>Particle bound</c:v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'All data'!$AH$20:$AH$30</c:f>
              <c:strCache>
                <c:ptCount val="11"/>
                <c:pt idx="0">
                  <c:v>Bogstadvannet</c:v>
                </c:pt>
                <c:pt idx="1">
                  <c:v>Lysakerelva</c:v>
                </c:pt>
                <c:pt idx="2">
                  <c:v>Akerselva</c:v>
                </c:pt>
                <c:pt idx="3">
                  <c:v>Årungen</c:v>
                </c:pt>
                <c:pt idx="4">
                  <c:v>Gjersjøen</c:v>
                </c:pt>
                <c:pt idx="5">
                  <c:v>Kolbotntjernet</c:v>
                </c:pt>
                <c:pt idx="6">
                  <c:v>Sværsvann</c:v>
                </c:pt>
                <c:pt idx="7">
                  <c:v>Østensjøvann</c:v>
                </c:pt>
                <c:pt idx="8">
                  <c:v>Lutvann</c:v>
                </c:pt>
                <c:pt idx="9">
                  <c:v>Maridalsvannet</c:v>
                </c:pt>
                <c:pt idx="10">
                  <c:v>Nesøytjernet</c:v>
                </c:pt>
              </c:strCache>
            </c:strRef>
          </c:cat>
          <c:val>
            <c:numRef>
              <c:f>'All data'!$AR$20:$AR$30</c:f>
              <c:numCache>
                <c:formatCode>0.00</c:formatCode>
                <c:ptCount val="11"/>
                <c:pt idx="0">
                  <c:v>13.328391401037806</c:v>
                </c:pt>
                <c:pt idx="1">
                  <c:v>11.210155670867309</c:v>
                </c:pt>
                <c:pt idx="2">
                  <c:v>46.174944403261676</c:v>
                </c:pt>
                <c:pt idx="3">
                  <c:v>6.9581171237954038</c:v>
                </c:pt>
                <c:pt idx="4">
                  <c:v>4.1004447739065979</c:v>
                </c:pt>
                <c:pt idx="5">
                  <c:v>2.0303928836174943</c:v>
                </c:pt>
                <c:pt idx="6">
                  <c:v>11.355819125277982</c:v>
                </c:pt>
                <c:pt idx="7">
                  <c:v>9.0896960711638251</c:v>
                </c:pt>
                <c:pt idx="8">
                  <c:v>1.5763528539659006</c:v>
                </c:pt>
                <c:pt idx="9">
                  <c:v>4.2524091919940696</c:v>
                </c:pt>
                <c:pt idx="10">
                  <c:v>3.9058561897702</c:v>
                </c:pt>
              </c:numCache>
            </c:numRef>
          </c:val>
        </c:ser>
        <c:ser>
          <c:idx val="0"/>
          <c:order val="1"/>
          <c:tx>
            <c:v>Dissolved</c:v>
          </c:tx>
          <c:invertIfNegative val="0"/>
          <c:cat>
            <c:strRef>
              <c:f>'All data'!$AH$20:$AH$30</c:f>
              <c:strCache>
                <c:ptCount val="11"/>
                <c:pt idx="0">
                  <c:v>Bogstadvannet</c:v>
                </c:pt>
                <c:pt idx="1">
                  <c:v>Lysakerelva</c:v>
                </c:pt>
                <c:pt idx="2">
                  <c:v>Akerselva</c:v>
                </c:pt>
                <c:pt idx="3">
                  <c:v>Årungen</c:v>
                </c:pt>
                <c:pt idx="4">
                  <c:v>Gjersjøen</c:v>
                </c:pt>
                <c:pt idx="5">
                  <c:v>Kolbotntjernet</c:v>
                </c:pt>
                <c:pt idx="6">
                  <c:v>Sværsvann</c:v>
                </c:pt>
                <c:pt idx="7">
                  <c:v>Østensjøvann</c:v>
                </c:pt>
                <c:pt idx="8">
                  <c:v>Lutvann</c:v>
                </c:pt>
                <c:pt idx="9">
                  <c:v>Maridalsvannet</c:v>
                </c:pt>
                <c:pt idx="10">
                  <c:v>Nesøytjernet</c:v>
                </c:pt>
              </c:strCache>
            </c:strRef>
          </c:cat>
          <c:val>
            <c:numRef>
              <c:f>'All data'!$AI$20:$AI$30</c:f>
              <c:numCache>
                <c:formatCode>0.00</c:formatCode>
                <c:ptCount val="11"/>
                <c:pt idx="0">
                  <c:v>4.537064492216456</c:v>
                </c:pt>
                <c:pt idx="1">
                  <c:v>3.8257968865826539</c:v>
                </c:pt>
                <c:pt idx="2">
                  <c:v>3.6186063750926611</c:v>
                </c:pt>
                <c:pt idx="3">
                  <c:v>1.1901408450704225</c:v>
                </c:pt>
                <c:pt idx="4">
                  <c:v>0.70570793180133429</c:v>
                </c:pt>
                <c:pt idx="5">
                  <c:v>0.20978502594514456</c:v>
                </c:pt>
                <c:pt idx="6">
                  <c:v>3.7368421052631575</c:v>
                </c:pt>
                <c:pt idx="7">
                  <c:v>1.1982950333580429</c:v>
                </c:pt>
                <c:pt idx="8">
                  <c:v>0.28020756115641215</c:v>
                </c:pt>
                <c:pt idx="9">
                  <c:v>7.0051890289103039E-2</c:v>
                </c:pt>
                <c:pt idx="10">
                  <c:v>2.3799110452186802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452096"/>
        <c:axId val="148453632"/>
      </c:barChart>
      <c:catAx>
        <c:axId val="148452096"/>
        <c:scaling>
          <c:orientation val="minMax"/>
        </c:scaling>
        <c:delete val="0"/>
        <c:axPos val="b"/>
        <c:majorTickMark val="out"/>
        <c:minorTickMark val="none"/>
        <c:tickLblPos val="nextTo"/>
        <c:crossAx val="148453632"/>
        <c:crosses val="autoZero"/>
        <c:auto val="1"/>
        <c:lblAlgn val="ctr"/>
        <c:lblOffset val="100"/>
        <c:noMultiLvlLbl val="0"/>
      </c:catAx>
      <c:valAx>
        <c:axId val="148453632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crossAx val="148452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298643919510056"/>
          <c:y val="8.8754009915427232E-3"/>
          <c:w val="0.36701356080489939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Iron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628346456692913"/>
          <c:y val="0.14399314668999708"/>
          <c:w val="0.81670297462817143"/>
          <c:h val="0.54866688538932629"/>
        </c:manualLayout>
      </c:layout>
      <c:barChart>
        <c:barDir val="col"/>
        <c:grouping val="percentStacked"/>
        <c:varyColors val="0"/>
        <c:ser>
          <c:idx val="1"/>
          <c:order val="0"/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'All data'!$AH$20:$AH$30</c:f>
              <c:strCache>
                <c:ptCount val="11"/>
                <c:pt idx="0">
                  <c:v>Bogstadvannet</c:v>
                </c:pt>
                <c:pt idx="1">
                  <c:v>Lysakerelva</c:v>
                </c:pt>
                <c:pt idx="2">
                  <c:v>Akerselva</c:v>
                </c:pt>
                <c:pt idx="3">
                  <c:v>Årungen</c:v>
                </c:pt>
                <c:pt idx="4">
                  <c:v>Gjersjøen</c:v>
                </c:pt>
                <c:pt idx="5">
                  <c:v>Kolbotntjernet</c:v>
                </c:pt>
                <c:pt idx="6">
                  <c:v>Sværsvann</c:v>
                </c:pt>
                <c:pt idx="7">
                  <c:v>Østensjøvann</c:v>
                </c:pt>
                <c:pt idx="8">
                  <c:v>Lutvann</c:v>
                </c:pt>
                <c:pt idx="9">
                  <c:v>Maridalsvannet</c:v>
                </c:pt>
                <c:pt idx="10">
                  <c:v>Nesøytjernet</c:v>
                </c:pt>
              </c:strCache>
            </c:strRef>
          </c:cat>
          <c:val>
            <c:numRef>
              <c:f>'All data'!$AS$20:$AS$30</c:f>
              <c:numCache>
                <c:formatCode>0.00</c:formatCode>
                <c:ptCount val="11"/>
                <c:pt idx="0">
                  <c:v>9.4719312382487235</c:v>
                </c:pt>
                <c:pt idx="1">
                  <c:v>8.7732115677321154</c:v>
                </c:pt>
                <c:pt idx="2">
                  <c:v>20.478467185961144</c:v>
                </c:pt>
                <c:pt idx="3">
                  <c:v>6.3873220521085141</c:v>
                </c:pt>
                <c:pt idx="4">
                  <c:v>4.8996329125257407</c:v>
                </c:pt>
                <c:pt idx="5">
                  <c:v>4.4548303339600679</c:v>
                </c:pt>
                <c:pt idx="6">
                  <c:v>14.213985137433969</c:v>
                </c:pt>
                <c:pt idx="7">
                  <c:v>11.707583490017011</c:v>
                </c:pt>
                <c:pt idx="8">
                  <c:v>1.674097949682156</c:v>
                </c:pt>
                <c:pt idx="9">
                  <c:v>3.3723699525472286</c:v>
                </c:pt>
                <c:pt idx="10">
                  <c:v>3.1168412570507655</c:v>
                </c:pt>
              </c:numCache>
            </c:numRef>
          </c:val>
        </c:ser>
        <c:ser>
          <c:idx val="0"/>
          <c:order val="1"/>
          <c:invertIfNegative val="0"/>
          <c:cat>
            <c:strRef>
              <c:f>'All data'!$AH$20:$AH$30</c:f>
              <c:strCache>
                <c:ptCount val="11"/>
                <c:pt idx="0">
                  <c:v>Bogstadvannet</c:v>
                </c:pt>
                <c:pt idx="1">
                  <c:v>Lysakerelva</c:v>
                </c:pt>
                <c:pt idx="2">
                  <c:v>Akerselva</c:v>
                </c:pt>
                <c:pt idx="3">
                  <c:v>Årungen</c:v>
                </c:pt>
                <c:pt idx="4">
                  <c:v>Gjersjøen</c:v>
                </c:pt>
                <c:pt idx="5">
                  <c:v>Kolbotntjernet</c:v>
                </c:pt>
                <c:pt idx="6">
                  <c:v>Sværsvann</c:v>
                </c:pt>
                <c:pt idx="7">
                  <c:v>Østensjøvann</c:v>
                </c:pt>
                <c:pt idx="8">
                  <c:v>Lutvann</c:v>
                </c:pt>
                <c:pt idx="9">
                  <c:v>Maridalsvannet</c:v>
                </c:pt>
                <c:pt idx="10">
                  <c:v>Nesøytjernet</c:v>
                </c:pt>
              </c:strCache>
            </c:strRef>
          </c:cat>
          <c:val>
            <c:numRef>
              <c:f>'All data'!$AJ$20:$AJ$30</c:f>
              <c:numCache>
                <c:formatCode>0.00</c:formatCode>
                <c:ptCount val="11"/>
                <c:pt idx="0">
                  <c:v>3.6064106007699883</c:v>
                </c:pt>
                <c:pt idx="1">
                  <c:v>3.5027307726743668</c:v>
                </c:pt>
                <c:pt idx="2">
                  <c:v>2.2494404154355809</c:v>
                </c:pt>
                <c:pt idx="3">
                  <c:v>2.2585728355269046</c:v>
                </c:pt>
                <c:pt idx="4">
                  <c:v>2.1196167964902859</c:v>
                </c:pt>
                <c:pt idx="5">
                  <c:v>2.3840988450174589</c:v>
                </c:pt>
                <c:pt idx="6">
                  <c:v>5.4939564867042705</c:v>
                </c:pt>
                <c:pt idx="7">
                  <c:v>4.179783328856657</c:v>
                </c:pt>
                <c:pt idx="8">
                  <c:v>0.97591548034739006</c:v>
                </c:pt>
                <c:pt idx="9">
                  <c:v>2.1113797117020323</c:v>
                </c:pt>
                <c:pt idx="10">
                  <c:v>1.1050228310502284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462592"/>
        <c:axId val="148476672"/>
      </c:barChart>
      <c:catAx>
        <c:axId val="148462592"/>
        <c:scaling>
          <c:orientation val="minMax"/>
        </c:scaling>
        <c:delete val="0"/>
        <c:axPos val="b"/>
        <c:majorTickMark val="out"/>
        <c:minorTickMark val="none"/>
        <c:tickLblPos val="nextTo"/>
        <c:crossAx val="148476672"/>
        <c:crosses val="autoZero"/>
        <c:auto val="1"/>
        <c:lblAlgn val="ctr"/>
        <c:lblOffset val="100"/>
        <c:noMultiLvlLbl val="0"/>
      </c:catAx>
      <c:valAx>
        <c:axId val="148476672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crossAx val="148462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Manganese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628346456692913"/>
          <c:y val="0.14399314668999708"/>
          <c:w val="0.81670297462817143"/>
          <c:h val="0.54866688538932629"/>
        </c:manualLayout>
      </c:layout>
      <c:barChart>
        <c:barDir val="col"/>
        <c:grouping val="percentStacked"/>
        <c:varyColors val="0"/>
        <c:ser>
          <c:idx val="1"/>
          <c:order val="0"/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'All data'!$AH$20:$AH$30</c:f>
              <c:strCache>
                <c:ptCount val="11"/>
                <c:pt idx="0">
                  <c:v>Bogstadvannet</c:v>
                </c:pt>
                <c:pt idx="1">
                  <c:v>Lysakerelva</c:v>
                </c:pt>
                <c:pt idx="2">
                  <c:v>Akerselva</c:v>
                </c:pt>
                <c:pt idx="3">
                  <c:v>Årungen</c:v>
                </c:pt>
                <c:pt idx="4">
                  <c:v>Gjersjøen</c:v>
                </c:pt>
                <c:pt idx="5">
                  <c:v>Kolbotntjernet</c:v>
                </c:pt>
                <c:pt idx="6">
                  <c:v>Sværsvann</c:v>
                </c:pt>
                <c:pt idx="7">
                  <c:v>Østensjøvann</c:v>
                </c:pt>
                <c:pt idx="8">
                  <c:v>Lutvann</c:v>
                </c:pt>
                <c:pt idx="9">
                  <c:v>Maridalsvannet</c:v>
                </c:pt>
                <c:pt idx="10">
                  <c:v>Nesøytjernet</c:v>
                </c:pt>
              </c:strCache>
            </c:strRef>
          </c:cat>
          <c:val>
            <c:numRef>
              <c:f>'All data'!$AT$20:$AT$30</c:f>
              <c:numCache>
                <c:formatCode>0.00</c:formatCode>
                <c:ptCount val="11"/>
                <c:pt idx="0">
                  <c:v>1.0912301139466307</c:v>
                </c:pt>
                <c:pt idx="1">
                  <c:v>0.46834613564381666</c:v>
                </c:pt>
                <c:pt idx="2">
                  <c:v>0.6068659215843315</c:v>
                </c:pt>
                <c:pt idx="3">
                  <c:v>1.1014234227674833</c:v>
                </c:pt>
                <c:pt idx="4">
                  <c:v>0.33328479376751974</c:v>
                </c:pt>
                <c:pt idx="5">
                  <c:v>1.2355746477847753</c:v>
                </c:pt>
                <c:pt idx="6">
                  <c:v>1.2231970585023118</c:v>
                </c:pt>
                <c:pt idx="7">
                  <c:v>1.8040336379191086</c:v>
                </c:pt>
                <c:pt idx="8">
                  <c:v>3.4584440642178457E-2</c:v>
                </c:pt>
                <c:pt idx="9">
                  <c:v>0.12268375259383305</c:v>
                </c:pt>
                <c:pt idx="10">
                  <c:v>0.13342313153008845</c:v>
                </c:pt>
              </c:numCache>
            </c:numRef>
          </c:val>
        </c:ser>
        <c:ser>
          <c:idx val="0"/>
          <c:order val="1"/>
          <c:invertIfNegative val="0"/>
          <c:cat>
            <c:strRef>
              <c:f>'All data'!$AH$20:$AH$30</c:f>
              <c:strCache>
                <c:ptCount val="11"/>
                <c:pt idx="0">
                  <c:v>Bogstadvannet</c:v>
                </c:pt>
                <c:pt idx="1">
                  <c:v>Lysakerelva</c:v>
                </c:pt>
                <c:pt idx="2">
                  <c:v>Akerselva</c:v>
                </c:pt>
                <c:pt idx="3">
                  <c:v>Årungen</c:v>
                </c:pt>
                <c:pt idx="4">
                  <c:v>Gjersjøen</c:v>
                </c:pt>
                <c:pt idx="5">
                  <c:v>Kolbotntjernet</c:v>
                </c:pt>
                <c:pt idx="6">
                  <c:v>Sværsvann</c:v>
                </c:pt>
                <c:pt idx="7">
                  <c:v>Østensjøvann</c:v>
                </c:pt>
                <c:pt idx="8">
                  <c:v>Lutvann</c:v>
                </c:pt>
                <c:pt idx="9">
                  <c:v>Maridalsvannet</c:v>
                </c:pt>
                <c:pt idx="10">
                  <c:v>Nesøytjernet</c:v>
                </c:pt>
              </c:strCache>
            </c:strRef>
          </c:cat>
          <c:val>
            <c:numRef>
              <c:f>'All data'!$AK$20:$AK$30</c:f>
              <c:numCache>
                <c:formatCode>0.00</c:formatCode>
                <c:ptCount val="11"/>
                <c:pt idx="0">
                  <c:v>0.41628745130874806</c:v>
                </c:pt>
                <c:pt idx="1">
                  <c:v>0.12869052386326404</c:v>
                </c:pt>
                <c:pt idx="2">
                  <c:v>0.17274017983909135</c:v>
                </c:pt>
                <c:pt idx="3">
                  <c:v>4.4959772834831997E-2</c:v>
                </c:pt>
                <c:pt idx="4">
                  <c:v>0.12869052386326404</c:v>
                </c:pt>
                <c:pt idx="5">
                  <c:v>0.50329462302959693</c:v>
                </c:pt>
                <c:pt idx="6">
                  <c:v>0.46215734100258471</c:v>
                </c:pt>
                <c:pt idx="7">
                  <c:v>0.83111871564308848</c:v>
                </c:pt>
                <c:pt idx="8">
                  <c:v>3.640467436018785E-3</c:v>
                </c:pt>
                <c:pt idx="9">
                  <c:v>2.5483272052131494E-3</c:v>
                </c:pt>
                <c:pt idx="10">
                  <c:v>2.7121482398339947E-2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571264"/>
        <c:axId val="148572800"/>
      </c:barChart>
      <c:catAx>
        <c:axId val="148571264"/>
        <c:scaling>
          <c:orientation val="minMax"/>
        </c:scaling>
        <c:delete val="0"/>
        <c:axPos val="b"/>
        <c:majorTickMark val="out"/>
        <c:minorTickMark val="none"/>
        <c:tickLblPos val="nextTo"/>
        <c:crossAx val="148572800"/>
        <c:crosses val="autoZero"/>
        <c:auto val="1"/>
        <c:lblAlgn val="ctr"/>
        <c:lblOffset val="100"/>
        <c:noMultiLvlLbl val="0"/>
      </c:catAx>
      <c:valAx>
        <c:axId val="148572800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crossAx val="148571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Chromium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628346456692913"/>
          <c:y val="0.16251166520851559"/>
          <c:w val="0.81670297462817143"/>
          <c:h val="0.53014836687080769"/>
        </c:manualLayout>
      </c:layout>
      <c:barChart>
        <c:barDir val="col"/>
        <c:grouping val="percentStacked"/>
        <c:varyColors val="0"/>
        <c:ser>
          <c:idx val="1"/>
          <c:order val="0"/>
          <c:tx>
            <c:v>Particle bound</c:v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'All data'!$AH$20:$AH$30</c:f>
              <c:strCache>
                <c:ptCount val="11"/>
                <c:pt idx="0">
                  <c:v>Bogstadvannet</c:v>
                </c:pt>
                <c:pt idx="1">
                  <c:v>Lysakerelva</c:v>
                </c:pt>
                <c:pt idx="2">
                  <c:v>Akerselva</c:v>
                </c:pt>
                <c:pt idx="3">
                  <c:v>Årungen</c:v>
                </c:pt>
                <c:pt idx="4">
                  <c:v>Gjersjøen</c:v>
                </c:pt>
                <c:pt idx="5">
                  <c:v>Kolbotntjernet</c:v>
                </c:pt>
                <c:pt idx="6">
                  <c:v>Sværsvann</c:v>
                </c:pt>
                <c:pt idx="7">
                  <c:v>Østensjøvann</c:v>
                </c:pt>
                <c:pt idx="8">
                  <c:v>Lutvann</c:v>
                </c:pt>
                <c:pt idx="9">
                  <c:v>Maridalsvannet</c:v>
                </c:pt>
                <c:pt idx="10">
                  <c:v>Nesøytjernet</c:v>
                </c:pt>
              </c:strCache>
            </c:strRef>
          </c:cat>
          <c:val>
            <c:numRef>
              <c:f>'All data'!$AU$20:$AU$30</c:f>
              <c:numCache>
                <c:formatCode>0.00</c:formatCode>
                <c:ptCount val="11"/>
                <c:pt idx="0">
                  <c:v>1.4039514502049193E-2</c:v>
                </c:pt>
                <c:pt idx="1">
                  <c:v>1.5193447200847757E-2</c:v>
                </c:pt>
                <c:pt idx="2">
                  <c:v>7.1736149441977384E-2</c:v>
                </c:pt>
                <c:pt idx="3">
                  <c:v>5.2119293562401796E-2</c:v>
                </c:pt>
                <c:pt idx="4">
                  <c:v>5.6927346474062474E-2</c:v>
                </c:pt>
                <c:pt idx="5">
                  <c:v>5.0196072397737532E-2</c:v>
                </c:pt>
                <c:pt idx="6">
                  <c:v>3.5579591546289049E-2</c:v>
                </c:pt>
                <c:pt idx="7">
                  <c:v>4.8080529116606818E-2</c:v>
                </c:pt>
                <c:pt idx="8">
                  <c:v>9.616105823321364E-3</c:v>
                </c:pt>
                <c:pt idx="9">
                  <c:v>1.8270601064310592E-2</c:v>
                </c:pt>
                <c:pt idx="10">
                  <c:v>1.5578091433780611E-2</c:v>
                </c:pt>
              </c:numCache>
            </c:numRef>
          </c:val>
        </c:ser>
        <c:ser>
          <c:idx val="0"/>
          <c:order val="1"/>
          <c:tx>
            <c:v>Dissolved</c:v>
          </c:tx>
          <c:invertIfNegative val="0"/>
          <c:cat>
            <c:strRef>
              <c:f>'All data'!$AH$20:$AH$30</c:f>
              <c:strCache>
                <c:ptCount val="11"/>
                <c:pt idx="0">
                  <c:v>Bogstadvannet</c:v>
                </c:pt>
                <c:pt idx="1">
                  <c:v>Lysakerelva</c:v>
                </c:pt>
                <c:pt idx="2">
                  <c:v>Akerselva</c:v>
                </c:pt>
                <c:pt idx="3">
                  <c:v>Årungen</c:v>
                </c:pt>
                <c:pt idx="4">
                  <c:v>Gjersjøen</c:v>
                </c:pt>
                <c:pt idx="5">
                  <c:v>Kolbotntjernet</c:v>
                </c:pt>
                <c:pt idx="6">
                  <c:v>Sværsvann</c:v>
                </c:pt>
                <c:pt idx="7">
                  <c:v>Østensjøvann</c:v>
                </c:pt>
                <c:pt idx="8">
                  <c:v>Lutvann</c:v>
                </c:pt>
                <c:pt idx="9">
                  <c:v>Maridalsvannet</c:v>
                </c:pt>
                <c:pt idx="10">
                  <c:v>Nesøytjernet</c:v>
                </c:pt>
              </c:strCache>
            </c:strRef>
          </c:cat>
          <c:val>
            <c:numRef>
              <c:f>'All data'!$AL$20:$AL$30</c:f>
              <c:numCache>
                <c:formatCode>0.00</c:formatCode>
                <c:ptCount val="11"/>
                <c:pt idx="0">
                  <c:v>4.6157307951942552E-3</c:v>
                </c:pt>
                <c:pt idx="1">
                  <c:v>5.0003750281271096E-3</c:v>
                </c:pt>
                <c:pt idx="2">
                  <c:v>1.5193447200847757E-2</c:v>
                </c:pt>
                <c:pt idx="3">
                  <c:v>2.269400974303842E-2</c:v>
                </c:pt>
                <c:pt idx="4">
                  <c:v>2.6732774188833391E-2</c:v>
                </c:pt>
                <c:pt idx="5">
                  <c:v>2.4809553024169123E-2</c:v>
                </c:pt>
                <c:pt idx="6">
                  <c:v>1.5385769317314184E-2</c:v>
                </c:pt>
                <c:pt idx="7">
                  <c:v>2.1347754927773431E-2</c:v>
                </c:pt>
                <c:pt idx="8">
                  <c:v>4.0387644457949732E-3</c:v>
                </c:pt>
                <c:pt idx="9">
                  <c:v>1.1539326987985637E-2</c:v>
                </c:pt>
                <c:pt idx="10">
                  <c:v>4.808052911660682E-3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610048"/>
        <c:axId val="148620032"/>
      </c:barChart>
      <c:catAx>
        <c:axId val="148610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48620032"/>
        <c:crosses val="autoZero"/>
        <c:auto val="1"/>
        <c:lblAlgn val="ctr"/>
        <c:lblOffset val="100"/>
        <c:noMultiLvlLbl val="0"/>
      </c:catAx>
      <c:valAx>
        <c:axId val="148620032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crossAx val="148610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298643919510056"/>
          <c:y val="8.8754009915427232E-3"/>
          <c:w val="0.36701356080489939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Copper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628346456692913"/>
          <c:y val="0.16251166520851559"/>
          <c:w val="0.81670297462817143"/>
          <c:h val="0.53014836687080769"/>
        </c:manualLayout>
      </c:layout>
      <c:barChart>
        <c:barDir val="col"/>
        <c:grouping val="percentStacked"/>
        <c:varyColors val="0"/>
        <c:ser>
          <c:idx val="1"/>
          <c:order val="0"/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'All data'!$AH$20:$AH$30</c:f>
              <c:strCache>
                <c:ptCount val="11"/>
                <c:pt idx="0">
                  <c:v>Bogstadvannet</c:v>
                </c:pt>
                <c:pt idx="1">
                  <c:v>Lysakerelva</c:v>
                </c:pt>
                <c:pt idx="2">
                  <c:v>Akerselva</c:v>
                </c:pt>
                <c:pt idx="3">
                  <c:v>Årungen</c:v>
                </c:pt>
                <c:pt idx="4">
                  <c:v>Gjersjøen</c:v>
                </c:pt>
                <c:pt idx="5">
                  <c:v>Kolbotntjernet</c:v>
                </c:pt>
                <c:pt idx="6">
                  <c:v>Sværsvann</c:v>
                </c:pt>
                <c:pt idx="7">
                  <c:v>Østensjøvann</c:v>
                </c:pt>
                <c:pt idx="8">
                  <c:v>Lutvann</c:v>
                </c:pt>
                <c:pt idx="9">
                  <c:v>Maridalsvannet</c:v>
                </c:pt>
                <c:pt idx="10">
                  <c:v>Nesøytjernet</c:v>
                </c:pt>
              </c:strCache>
            </c:strRef>
          </c:cat>
          <c:val>
            <c:numRef>
              <c:f>'All data'!$AV$20:$AV$30</c:f>
              <c:numCache>
                <c:formatCode>0.00</c:formatCode>
                <c:ptCount val="11"/>
                <c:pt idx="0">
                  <c:v>2.7696471847165831E-2</c:v>
                </c:pt>
                <c:pt idx="1">
                  <c:v>3.1001164510748122E-2</c:v>
                </c:pt>
                <c:pt idx="2">
                  <c:v>7.6794762848959808E-2</c:v>
                </c:pt>
                <c:pt idx="3">
                  <c:v>8.686620715702012E-2</c:v>
                </c:pt>
                <c:pt idx="4">
                  <c:v>8.0414188147168983E-2</c:v>
                </c:pt>
                <c:pt idx="5">
                  <c:v>6.1058131117615586E-2</c:v>
                </c:pt>
                <c:pt idx="6">
                  <c:v>2.8011204481792718E-2</c:v>
                </c:pt>
                <c:pt idx="7">
                  <c:v>8.5764642935826002E-2</c:v>
                </c:pt>
                <c:pt idx="8">
                  <c:v>1.7625027539105532E-2</c:v>
                </c:pt>
                <c:pt idx="9">
                  <c:v>2.5021244452837314E-2</c:v>
                </c:pt>
                <c:pt idx="10">
                  <c:v>2.3604947597016333E-2</c:v>
                </c:pt>
              </c:numCache>
            </c:numRef>
          </c:val>
        </c:ser>
        <c:ser>
          <c:idx val="0"/>
          <c:order val="1"/>
          <c:invertIfNegative val="0"/>
          <c:cat>
            <c:strRef>
              <c:f>'All data'!$AH$20:$AH$30</c:f>
              <c:strCache>
                <c:ptCount val="11"/>
                <c:pt idx="0">
                  <c:v>Bogstadvannet</c:v>
                </c:pt>
                <c:pt idx="1">
                  <c:v>Lysakerelva</c:v>
                </c:pt>
                <c:pt idx="2">
                  <c:v>Akerselva</c:v>
                </c:pt>
                <c:pt idx="3">
                  <c:v>Årungen</c:v>
                </c:pt>
                <c:pt idx="4">
                  <c:v>Gjersjøen</c:v>
                </c:pt>
                <c:pt idx="5">
                  <c:v>Kolbotntjernet</c:v>
                </c:pt>
                <c:pt idx="6">
                  <c:v>Sværsvann</c:v>
                </c:pt>
                <c:pt idx="7">
                  <c:v>Østensjøvann</c:v>
                </c:pt>
                <c:pt idx="8">
                  <c:v>Lutvann</c:v>
                </c:pt>
                <c:pt idx="9">
                  <c:v>Maridalsvannet</c:v>
                </c:pt>
                <c:pt idx="10">
                  <c:v>Nesøytjernet</c:v>
                </c:pt>
              </c:strCache>
            </c:strRef>
          </c:cat>
          <c:val>
            <c:numRef>
              <c:f>'All data'!$AM$20:$AM$30</c:f>
              <c:numCache>
                <c:formatCode>0.00</c:formatCode>
                <c:ptCount val="11"/>
                <c:pt idx="0">
                  <c:v>1.2746671702388822E-2</c:v>
                </c:pt>
                <c:pt idx="1">
                  <c:v>1.3848235923582917E-2</c:v>
                </c:pt>
                <c:pt idx="2">
                  <c:v>2.4391779183583547E-2</c:v>
                </c:pt>
                <c:pt idx="3">
                  <c:v>4.2016806722689072E-2</c:v>
                </c:pt>
                <c:pt idx="4">
                  <c:v>3.8240015107166465E-2</c:v>
                </c:pt>
                <c:pt idx="5">
                  <c:v>2.9899600289554022E-2</c:v>
                </c:pt>
                <c:pt idx="6">
                  <c:v>1.258930538507538E-2</c:v>
                </c:pt>
                <c:pt idx="7">
                  <c:v>3.9498945645673994E-2</c:v>
                </c:pt>
                <c:pt idx="8">
                  <c:v>8.3404148176124387E-3</c:v>
                </c:pt>
                <c:pt idx="9">
                  <c:v>1.1487741163881283E-2</c:v>
                </c:pt>
                <c:pt idx="10">
                  <c:v>1.1487741163881283E-2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710912"/>
        <c:axId val="148712448"/>
      </c:barChart>
      <c:catAx>
        <c:axId val="148710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48712448"/>
        <c:crosses val="autoZero"/>
        <c:auto val="1"/>
        <c:lblAlgn val="ctr"/>
        <c:lblOffset val="100"/>
        <c:noMultiLvlLbl val="0"/>
      </c:catAx>
      <c:valAx>
        <c:axId val="14871244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crossAx val="148710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Zinc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628346456692913"/>
          <c:y val="0.16251166520851559"/>
          <c:w val="0.81670297462817143"/>
          <c:h val="0.53014836687080769"/>
        </c:manualLayout>
      </c:layout>
      <c:barChart>
        <c:barDir val="col"/>
        <c:grouping val="percentStacked"/>
        <c:varyColors val="0"/>
        <c:ser>
          <c:idx val="1"/>
          <c:order val="0"/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'All data'!$AH$20:$AH$30</c:f>
              <c:strCache>
                <c:ptCount val="11"/>
                <c:pt idx="0">
                  <c:v>Bogstadvannet</c:v>
                </c:pt>
                <c:pt idx="1">
                  <c:v>Lysakerelva</c:v>
                </c:pt>
                <c:pt idx="2">
                  <c:v>Akerselva</c:v>
                </c:pt>
                <c:pt idx="3">
                  <c:v>Årungen</c:v>
                </c:pt>
                <c:pt idx="4">
                  <c:v>Gjersjøen</c:v>
                </c:pt>
                <c:pt idx="5">
                  <c:v>Kolbotntjernet</c:v>
                </c:pt>
                <c:pt idx="6">
                  <c:v>Sværsvann</c:v>
                </c:pt>
                <c:pt idx="7">
                  <c:v>Østensjøvann</c:v>
                </c:pt>
                <c:pt idx="8">
                  <c:v>Lutvann</c:v>
                </c:pt>
                <c:pt idx="9">
                  <c:v>Maridalsvannet</c:v>
                </c:pt>
                <c:pt idx="10">
                  <c:v>Nesøytjernet</c:v>
                </c:pt>
              </c:strCache>
            </c:strRef>
          </c:cat>
          <c:val>
            <c:numRef>
              <c:f>'All data'!$AW$20:$AW$30</c:f>
              <c:numCache>
                <c:formatCode>0.00</c:formatCode>
                <c:ptCount val="11"/>
                <c:pt idx="0">
                  <c:v>0.1295185167106806</c:v>
                </c:pt>
                <c:pt idx="1">
                  <c:v>9.5115647606754228E-2</c:v>
                </c:pt>
                <c:pt idx="2">
                  <c:v>0.21792991097020828</c:v>
                </c:pt>
                <c:pt idx="3">
                  <c:v>2.9054500424911801E-2</c:v>
                </c:pt>
                <c:pt idx="4">
                  <c:v>4.1286250399812652E-2</c:v>
                </c:pt>
                <c:pt idx="5">
                  <c:v>7.0641907832308809E-2</c:v>
                </c:pt>
                <c:pt idx="6">
                  <c:v>0.10122992897911109</c:v>
                </c:pt>
                <c:pt idx="7">
                  <c:v>7.0650181068113646E-2</c:v>
                </c:pt>
                <c:pt idx="8">
                  <c:v>5.000403817154081E-2</c:v>
                </c:pt>
                <c:pt idx="9">
                  <c:v>0.10353004052842621</c:v>
                </c:pt>
                <c:pt idx="10">
                  <c:v>6.7731480285653081E-2</c:v>
                </c:pt>
              </c:numCache>
            </c:numRef>
          </c:val>
        </c:ser>
        <c:ser>
          <c:idx val="0"/>
          <c:order val="1"/>
          <c:invertIfNegative val="0"/>
          <c:cat>
            <c:strRef>
              <c:f>'All data'!$AH$20:$AH$30</c:f>
              <c:strCache>
                <c:ptCount val="11"/>
                <c:pt idx="0">
                  <c:v>Bogstadvannet</c:v>
                </c:pt>
                <c:pt idx="1">
                  <c:v>Lysakerelva</c:v>
                </c:pt>
                <c:pt idx="2">
                  <c:v>Akerselva</c:v>
                </c:pt>
                <c:pt idx="3">
                  <c:v>Årungen</c:v>
                </c:pt>
                <c:pt idx="4">
                  <c:v>Gjersjøen</c:v>
                </c:pt>
                <c:pt idx="5">
                  <c:v>Kolbotntjernet</c:v>
                </c:pt>
                <c:pt idx="6">
                  <c:v>Sværsvann</c:v>
                </c:pt>
                <c:pt idx="7">
                  <c:v>Østensjøvann</c:v>
                </c:pt>
                <c:pt idx="8">
                  <c:v>Lutvann</c:v>
                </c:pt>
                <c:pt idx="9">
                  <c:v>Maridalsvannet</c:v>
                </c:pt>
                <c:pt idx="10">
                  <c:v>Nesøytjernet</c:v>
                </c:pt>
              </c:strCache>
            </c:strRef>
          </c:cat>
          <c:val>
            <c:numRef>
              <c:f>'All data'!$AN$20:$AN$30</c:f>
              <c:numCache>
                <c:formatCode>0.00</c:formatCode>
                <c:ptCount val="11"/>
                <c:pt idx="0">
                  <c:v>7.1702670886269471E-2</c:v>
                </c:pt>
                <c:pt idx="1">
                  <c:v>4.6171016221009338E-2</c:v>
                </c:pt>
                <c:pt idx="2">
                  <c:v>6.0083474751181025E-2</c:v>
                </c:pt>
                <c:pt idx="3">
                  <c:v>1.4371111009188337E-2</c:v>
                </c:pt>
                <c:pt idx="4">
                  <c:v>2.4308581387882399E-2</c:v>
                </c:pt>
                <c:pt idx="5">
                  <c:v>4.9381583574125879E-2</c:v>
                </c:pt>
                <c:pt idx="6">
                  <c:v>5.4732529162653455E-2</c:v>
                </c:pt>
                <c:pt idx="7">
                  <c:v>3.0729716094115483E-2</c:v>
                </c:pt>
                <c:pt idx="8">
                  <c:v>2.5378770505587914E-2</c:v>
                </c:pt>
                <c:pt idx="9">
                  <c:v>4.1584491430842849E-2</c:v>
                </c:pt>
                <c:pt idx="10">
                  <c:v>5.9166169793147726E-2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741504"/>
        <c:axId val="148743296"/>
      </c:barChart>
      <c:catAx>
        <c:axId val="148741504"/>
        <c:scaling>
          <c:orientation val="minMax"/>
        </c:scaling>
        <c:delete val="0"/>
        <c:axPos val="b"/>
        <c:majorTickMark val="out"/>
        <c:minorTickMark val="none"/>
        <c:tickLblPos val="nextTo"/>
        <c:crossAx val="148743296"/>
        <c:crosses val="autoZero"/>
        <c:auto val="1"/>
        <c:lblAlgn val="ctr"/>
        <c:lblOffset val="100"/>
        <c:noMultiLvlLbl val="0"/>
      </c:catAx>
      <c:valAx>
        <c:axId val="148743296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crossAx val="148741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Cadmium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628346456692913"/>
          <c:y val="0.16251166520851559"/>
          <c:w val="0.81670297462817143"/>
          <c:h val="0.53014836687080769"/>
        </c:manualLayout>
      </c:layout>
      <c:barChart>
        <c:barDir val="col"/>
        <c:grouping val="percentStacked"/>
        <c:varyColors val="0"/>
        <c:ser>
          <c:idx val="1"/>
          <c:order val="0"/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'All data'!$AH$20:$AH$30</c:f>
              <c:strCache>
                <c:ptCount val="11"/>
                <c:pt idx="0">
                  <c:v>Bogstadvannet</c:v>
                </c:pt>
                <c:pt idx="1">
                  <c:v>Lysakerelva</c:v>
                </c:pt>
                <c:pt idx="2">
                  <c:v>Akerselva</c:v>
                </c:pt>
                <c:pt idx="3">
                  <c:v>Årungen</c:v>
                </c:pt>
                <c:pt idx="4">
                  <c:v>Gjersjøen</c:v>
                </c:pt>
                <c:pt idx="5">
                  <c:v>Kolbotntjernet</c:v>
                </c:pt>
                <c:pt idx="6">
                  <c:v>Sværsvann</c:v>
                </c:pt>
                <c:pt idx="7">
                  <c:v>Østensjøvann</c:v>
                </c:pt>
                <c:pt idx="8">
                  <c:v>Lutvann</c:v>
                </c:pt>
                <c:pt idx="9">
                  <c:v>Maridalsvannet</c:v>
                </c:pt>
                <c:pt idx="10">
                  <c:v>Nesøytjernet</c:v>
                </c:pt>
              </c:strCache>
            </c:strRef>
          </c:cat>
          <c:val>
            <c:numRef>
              <c:f>'All data'!$AX$20:$AX$30</c:f>
              <c:numCache>
                <c:formatCode>0.00</c:formatCode>
                <c:ptCount val="11"/>
                <c:pt idx="0">
                  <c:v>3.5583706220921441E-4</c:v>
                </c:pt>
                <c:pt idx="1">
                  <c:v>1.7791853110460721E-4</c:v>
                </c:pt>
                <c:pt idx="2">
                  <c:v>4.4479632776151803E-4</c:v>
                </c:pt>
                <c:pt idx="3">
                  <c:v>1.7791853110460721E-4</c:v>
                </c:pt>
                <c:pt idx="4">
                  <c:v>8.8959265552303603E-5</c:v>
                </c:pt>
                <c:pt idx="5">
                  <c:v>8.8959265552303603E-5</c:v>
                </c:pt>
                <c:pt idx="6">
                  <c:v>1.7791853110460721E-4</c:v>
                </c:pt>
                <c:pt idx="7">
                  <c:v>8.8959265552303603E-5</c:v>
                </c:pt>
                <c:pt idx="8">
                  <c:v>8.8959265552303603E-5</c:v>
                </c:pt>
                <c:pt idx="9">
                  <c:v>1.7791853110460721E-4</c:v>
                </c:pt>
                <c:pt idx="10">
                  <c:v>1.7791853110460721E-4</c:v>
                </c:pt>
              </c:numCache>
            </c:numRef>
          </c:val>
        </c:ser>
        <c:ser>
          <c:idx val="0"/>
          <c:order val="1"/>
          <c:invertIfNegative val="0"/>
          <c:cat>
            <c:strRef>
              <c:f>'All data'!$AH$20:$AH$30</c:f>
              <c:strCache>
                <c:ptCount val="11"/>
                <c:pt idx="0">
                  <c:v>Bogstadvannet</c:v>
                </c:pt>
                <c:pt idx="1">
                  <c:v>Lysakerelva</c:v>
                </c:pt>
                <c:pt idx="2">
                  <c:v>Akerselva</c:v>
                </c:pt>
                <c:pt idx="3">
                  <c:v>Årungen</c:v>
                </c:pt>
                <c:pt idx="4">
                  <c:v>Gjersjøen</c:v>
                </c:pt>
                <c:pt idx="5">
                  <c:v>Kolbotntjernet</c:v>
                </c:pt>
                <c:pt idx="6">
                  <c:v>Sværsvann</c:v>
                </c:pt>
                <c:pt idx="7">
                  <c:v>Østensjøvann</c:v>
                </c:pt>
                <c:pt idx="8">
                  <c:v>Lutvann</c:v>
                </c:pt>
                <c:pt idx="9">
                  <c:v>Maridalsvannet</c:v>
                </c:pt>
                <c:pt idx="10">
                  <c:v>Nesøytjernet</c:v>
                </c:pt>
              </c:strCache>
            </c:strRef>
          </c:cat>
          <c:val>
            <c:numRef>
              <c:f>'All data'!$AO$20:$AO$30</c:f>
              <c:numCache>
                <c:formatCode>0.000</c:formatCode>
                <c:ptCount val="11"/>
                <c:pt idx="0">
                  <c:v>1.7791853110460721E-4</c:v>
                </c:pt>
                <c:pt idx="1">
                  <c:v>8.8959265552303603E-5</c:v>
                </c:pt>
                <c:pt idx="2">
                  <c:v>8.8959265552303603E-5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8.8959265552303603E-5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8.8959265552303603E-5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776448"/>
        <c:axId val="148777984"/>
      </c:barChart>
      <c:catAx>
        <c:axId val="148776448"/>
        <c:scaling>
          <c:orientation val="minMax"/>
        </c:scaling>
        <c:delete val="0"/>
        <c:axPos val="b"/>
        <c:majorTickMark val="out"/>
        <c:minorTickMark val="none"/>
        <c:tickLblPos val="nextTo"/>
        <c:crossAx val="148777984"/>
        <c:crosses val="autoZero"/>
        <c:auto val="1"/>
        <c:lblAlgn val="ctr"/>
        <c:lblOffset val="100"/>
        <c:noMultiLvlLbl val="0"/>
      </c:catAx>
      <c:valAx>
        <c:axId val="148777984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crossAx val="148776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72909459446291"/>
          <c:y val="2.6085212706167381E-2"/>
          <c:w val="0.76284447605636541"/>
          <c:h val="0.81794315280278862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'All data'!$BQ$2</c:f>
              <c:strCache>
                <c:ptCount val="1"/>
                <c:pt idx="0">
                  <c:v>Ca2+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'All data'!$BO$19:$BO$50</c:f>
              <c:strCache>
                <c:ptCount val="31"/>
                <c:pt idx="0">
                  <c:v>Bogstadvannet</c:v>
                </c:pt>
                <c:pt idx="3">
                  <c:v>Lysakerelva</c:v>
                </c:pt>
                <c:pt idx="6">
                  <c:v>Maridalsvannet</c:v>
                </c:pt>
                <c:pt idx="9">
                  <c:v>Akerselva</c:v>
                </c:pt>
                <c:pt idx="12">
                  <c:v>Østensjøvann</c:v>
                </c:pt>
                <c:pt idx="15">
                  <c:v>Kolbotntjernet</c:v>
                </c:pt>
                <c:pt idx="18">
                  <c:v>Årungen</c:v>
                </c:pt>
                <c:pt idx="21">
                  <c:v>Gjersjøen</c:v>
                </c:pt>
                <c:pt idx="24">
                  <c:v>Sværsvann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data'!$BQ$19:$BQ$50</c:f>
              <c:numCache>
                <c:formatCode>0.0</c:formatCode>
                <c:ptCount val="32"/>
                <c:pt idx="0">
                  <c:v>302.83286164202235</c:v>
                </c:pt>
                <c:pt idx="3">
                  <c:v>421.74089610535339</c:v>
                </c:pt>
                <c:pt idx="6">
                  <c:v>129.26137519727158</c:v>
                </c:pt>
                <c:pt idx="9">
                  <c:v>464.1344049527238</c:v>
                </c:pt>
                <c:pt idx="12">
                  <c:v>1654.531163637108</c:v>
                </c:pt>
                <c:pt idx="15">
                  <c:v>1406.1542349102774</c:v>
                </c:pt>
                <c:pt idx="18">
                  <c:v>1249.3275662977035</c:v>
                </c:pt>
                <c:pt idx="21">
                  <c:v>1161.8206334519548</c:v>
                </c:pt>
                <c:pt idx="24">
                  <c:v>271.88352409040209</c:v>
                </c:pt>
                <c:pt idx="27">
                  <c:v>1569.5513103341766</c:v>
                </c:pt>
                <c:pt idx="30">
                  <c:v>382.74455972646592</c:v>
                </c:pt>
              </c:numCache>
            </c:numRef>
          </c:val>
        </c:ser>
        <c:ser>
          <c:idx val="3"/>
          <c:order val="1"/>
          <c:tx>
            <c:strRef>
              <c:f>'All data'!$BR$2</c:f>
              <c:strCache>
                <c:ptCount val="1"/>
                <c:pt idx="0">
                  <c:v>Mg2+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'All data'!$BO$19:$BO$50</c:f>
              <c:strCache>
                <c:ptCount val="31"/>
                <c:pt idx="0">
                  <c:v>Bogstadvannet</c:v>
                </c:pt>
                <c:pt idx="3">
                  <c:v>Lysakerelva</c:v>
                </c:pt>
                <c:pt idx="6">
                  <c:v>Maridalsvannet</c:v>
                </c:pt>
                <c:pt idx="9">
                  <c:v>Akerselva</c:v>
                </c:pt>
                <c:pt idx="12">
                  <c:v>Østensjøvann</c:v>
                </c:pt>
                <c:pt idx="15">
                  <c:v>Kolbotntjernet</c:v>
                </c:pt>
                <c:pt idx="18">
                  <c:v>Årungen</c:v>
                </c:pt>
                <c:pt idx="21">
                  <c:v>Gjersjøen</c:v>
                </c:pt>
                <c:pt idx="24">
                  <c:v>Sværsvann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data'!$BR$19:$BR$50</c:f>
              <c:numCache>
                <c:formatCode>0.0</c:formatCode>
                <c:ptCount val="32"/>
                <c:pt idx="0">
                  <c:v>45.159627849685336</c:v>
                </c:pt>
                <c:pt idx="3">
                  <c:v>73.826619404587504</c:v>
                </c:pt>
                <c:pt idx="6">
                  <c:v>15.522682527521889</c:v>
                </c:pt>
                <c:pt idx="9">
                  <c:v>150.9570562913604</c:v>
                </c:pt>
                <c:pt idx="12">
                  <c:v>466.97046234872317</c:v>
                </c:pt>
                <c:pt idx="15">
                  <c:v>309.40234884165022</c:v>
                </c:pt>
                <c:pt idx="18">
                  <c:v>453.49622774933027</c:v>
                </c:pt>
                <c:pt idx="21">
                  <c:v>293.9822340860153</c:v>
                </c:pt>
                <c:pt idx="24">
                  <c:v>64.691693571866722</c:v>
                </c:pt>
                <c:pt idx="27">
                  <c:v>389.151183090291</c:v>
                </c:pt>
                <c:pt idx="30">
                  <c:v>95.210197859841514</c:v>
                </c:pt>
              </c:numCache>
            </c:numRef>
          </c:val>
        </c:ser>
        <c:ser>
          <c:idx val="4"/>
          <c:order val="2"/>
          <c:tx>
            <c:strRef>
              <c:f>'All data'!$BS$2</c:f>
              <c:strCache>
                <c:ptCount val="1"/>
                <c:pt idx="0">
                  <c:v>Na+</c:v>
                </c:pt>
              </c:strCache>
            </c:strRef>
          </c:tx>
          <c:invertIfNegative val="0"/>
          <c:cat>
            <c:strRef>
              <c:f>'All data'!$BO$19:$BO$50</c:f>
              <c:strCache>
                <c:ptCount val="31"/>
                <c:pt idx="0">
                  <c:v>Bogstadvannet</c:v>
                </c:pt>
                <c:pt idx="3">
                  <c:v>Lysakerelva</c:v>
                </c:pt>
                <c:pt idx="6">
                  <c:v>Maridalsvannet</c:v>
                </c:pt>
                <c:pt idx="9">
                  <c:v>Akerselva</c:v>
                </c:pt>
                <c:pt idx="12">
                  <c:v>Østensjøvann</c:v>
                </c:pt>
                <c:pt idx="15">
                  <c:v>Kolbotntjernet</c:v>
                </c:pt>
                <c:pt idx="18">
                  <c:v>Årungen</c:v>
                </c:pt>
                <c:pt idx="21">
                  <c:v>Gjersjøen</c:v>
                </c:pt>
                <c:pt idx="24">
                  <c:v>Sværsvann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data'!$BS$19:$BS$50</c:f>
              <c:numCache>
                <c:formatCode>0.0</c:formatCode>
                <c:ptCount val="32"/>
                <c:pt idx="0">
                  <c:v>71.458731811447109</c:v>
                </c:pt>
                <c:pt idx="3">
                  <c:v>117.0823156054133</c:v>
                </c:pt>
                <c:pt idx="6">
                  <c:v>44.38033029698353</c:v>
                </c:pt>
                <c:pt idx="9">
                  <c:v>535.55439243163823</c:v>
                </c:pt>
                <c:pt idx="12">
                  <c:v>865.37209221349849</c:v>
                </c:pt>
                <c:pt idx="15">
                  <c:v>1177.6737437304007</c:v>
                </c:pt>
                <c:pt idx="18">
                  <c:v>914.75789999890128</c:v>
                </c:pt>
                <c:pt idx="21">
                  <c:v>853.1137092147718</c:v>
                </c:pt>
                <c:pt idx="24">
                  <c:v>333.11188064302786</c:v>
                </c:pt>
                <c:pt idx="27">
                  <c:v>688.4013599815454</c:v>
                </c:pt>
                <c:pt idx="30">
                  <c:v>83.828499120810321</c:v>
                </c:pt>
              </c:numCache>
            </c:numRef>
          </c:val>
        </c:ser>
        <c:ser>
          <c:idx val="5"/>
          <c:order val="3"/>
          <c:tx>
            <c:strRef>
              <c:f>'All data'!$BT$2</c:f>
              <c:strCache>
                <c:ptCount val="1"/>
                <c:pt idx="0">
                  <c:v>K+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'All data'!$BO$19:$BO$50</c:f>
              <c:strCache>
                <c:ptCount val="31"/>
                <c:pt idx="0">
                  <c:v>Bogstadvannet</c:v>
                </c:pt>
                <c:pt idx="3">
                  <c:v>Lysakerelva</c:v>
                </c:pt>
                <c:pt idx="6">
                  <c:v>Maridalsvannet</c:v>
                </c:pt>
                <c:pt idx="9">
                  <c:v>Akerselva</c:v>
                </c:pt>
                <c:pt idx="12">
                  <c:v>Østensjøvann</c:v>
                </c:pt>
                <c:pt idx="15">
                  <c:v>Kolbotntjernet</c:v>
                </c:pt>
                <c:pt idx="18">
                  <c:v>Årungen</c:v>
                </c:pt>
                <c:pt idx="21">
                  <c:v>Gjersjøen</c:v>
                </c:pt>
                <c:pt idx="24">
                  <c:v>Sværsvann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data'!$BT$19:$BT$50</c:f>
              <c:numCache>
                <c:formatCode>0.0</c:formatCode>
                <c:ptCount val="32"/>
                <c:pt idx="0">
                  <c:v>12.13176030390896</c:v>
                </c:pt>
                <c:pt idx="3">
                  <c:v>15.541342350423452</c:v>
                </c:pt>
                <c:pt idx="6">
                  <c:v>8.3033173846536528</c:v>
                </c:pt>
                <c:pt idx="9">
                  <c:v>31.34580972580056</c:v>
                </c:pt>
                <c:pt idx="12">
                  <c:v>93.762091824651847</c:v>
                </c:pt>
                <c:pt idx="15">
                  <c:v>101.38439282045911</c:v>
                </c:pt>
                <c:pt idx="18">
                  <c:v>124.90022645860535</c:v>
                </c:pt>
                <c:pt idx="21">
                  <c:v>77.580352159784766</c:v>
                </c:pt>
                <c:pt idx="24">
                  <c:v>20.323223684205537</c:v>
                </c:pt>
                <c:pt idx="27">
                  <c:v>63.287763042585624</c:v>
                </c:pt>
                <c:pt idx="30">
                  <c:v>14.228605847811668</c:v>
                </c:pt>
              </c:numCache>
            </c:numRef>
          </c:val>
        </c:ser>
        <c:ser>
          <c:idx val="1"/>
          <c:order val="4"/>
          <c:tx>
            <c:strRef>
              <c:f>'All data'!$BP$2</c:f>
              <c:strCache>
                <c:ptCount val="1"/>
                <c:pt idx="0">
                  <c:v>H+</c:v>
                </c:pt>
              </c:strCache>
            </c:strRef>
          </c:tx>
          <c:invertIfNegative val="0"/>
          <c:cat>
            <c:strRef>
              <c:f>'All data'!$BO$19:$BO$50</c:f>
              <c:strCache>
                <c:ptCount val="31"/>
                <c:pt idx="0">
                  <c:v>Bogstadvannet</c:v>
                </c:pt>
                <c:pt idx="3">
                  <c:v>Lysakerelva</c:v>
                </c:pt>
                <c:pt idx="6">
                  <c:v>Maridalsvannet</c:v>
                </c:pt>
                <c:pt idx="9">
                  <c:v>Akerselva</c:v>
                </c:pt>
                <c:pt idx="12">
                  <c:v>Østensjøvann</c:v>
                </c:pt>
                <c:pt idx="15">
                  <c:v>Kolbotntjernet</c:v>
                </c:pt>
                <c:pt idx="18">
                  <c:v>Årungen</c:v>
                </c:pt>
                <c:pt idx="21">
                  <c:v>Gjersjøen</c:v>
                </c:pt>
                <c:pt idx="24">
                  <c:v>Sværsvann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data'!$BP$19:$BP$50</c:f>
              <c:numCache>
                <c:formatCode>0.0</c:formatCode>
                <c:ptCount val="32"/>
                <c:pt idx="0">
                  <c:v>0.14791083881682041</c:v>
                </c:pt>
                <c:pt idx="3">
                  <c:v>0.25118864315095779</c:v>
                </c:pt>
                <c:pt idx="6">
                  <c:v>0.20892961308540389</c:v>
                </c:pt>
                <c:pt idx="9">
                  <c:v>2.9512092266663778E-2</c:v>
                </c:pt>
                <c:pt idx="12">
                  <c:v>5.2480746024977189E-2</c:v>
                </c:pt>
                <c:pt idx="15">
                  <c:v>3.9810717055349568E-2</c:v>
                </c:pt>
                <c:pt idx="18">
                  <c:v>4.1686938347033513E-2</c:v>
                </c:pt>
                <c:pt idx="21">
                  <c:v>3.5481338923357426E-2</c:v>
                </c:pt>
                <c:pt idx="24">
                  <c:v>0.56234132519034874</c:v>
                </c:pt>
                <c:pt idx="27">
                  <c:v>1.5848931924611134E-2</c:v>
                </c:pt>
                <c:pt idx="30">
                  <c:v>5.8884365535558779E-2</c:v>
                </c:pt>
              </c:numCache>
            </c:numRef>
          </c:val>
        </c:ser>
        <c:ser>
          <c:idx val="11"/>
          <c:order val="5"/>
          <c:tx>
            <c:strRef>
              <c:f>'All data'!$BZ$2</c:f>
              <c:strCache>
                <c:ptCount val="1"/>
                <c:pt idx="0">
                  <c:v>Alkalinity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'All data'!$BO$19:$BO$50</c:f>
              <c:strCache>
                <c:ptCount val="31"/>
                <c:pt idx="0">
                  <c:v>Bogstadvannet</c:v>
                </c:pt>
                <c:pt idx="3">
                  <c:v>Lysakerelva</c:v>
                </c:pt>
                <c:pt idx="6">
                  <c:v>Maridalsvannet</c:v>
                </c:pt>
                <c:pt idx="9">
                  <c:v>Akerselva</c:v>
                </c:pt>
                <c:pt idx="12">
                  <c:v>Østensjøvann</c:v>
                </c:pt>
                <c:pt idx="15">
                  <c:v>Kolbotntjernet</c:v>
                </c:pt>
                <c:pt idx="18">
                  <c:v>Årungen</c:v>
                </c:pt>
                <c:pt idx="21">
                  <c:v>Gjersjøen</c:v>
                </c:pt>
                <c:pt idx="24">
                  <c:v>Sværsvann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data'!$BZ$19:$BZ$50</c:f>
              <c:numCache>
                <c:formatCode>0</c:formatCode>
                <c:ptCount val="32"/>
                <c:pt idx="1">
                  <c:v>210.30078665581024</c:v>
                </c:pt>
                <c:pt idx="4">
                  <c:v>315.150491258344</c:v>
                </c:pt>
                <c:pt idx="7">
                  <c:v>80.275484903459301</c:v>
                </c:pt>
                <c:pt idx="10">
                  <c:v>110.79899835272064</c:v>
                </c:pt>
                <c:pt idx="13">
                  <c:v>1345.4488349542421</c:v>
                </c:pt>
                <c:pt idx="16">
                  <c:v>1042.613873279319</c:v>
                </c:pt>
                <c:pt idx="19">
                  <c:v>885.03333935433432</c:v>
                </c:pt>
                <c:pt idx="22">
                  <c:v>710.70463796542924</c:v>
                </c:pt>
                <c:pt idx="25">
                  <c:v>190.72396207725149</c:v>
                </c:pt>
                <c:pt idx="28">
                  <c:v>1500.9347710876136</c:v>
                </c:pt>
                <c:pt idx="31">
                  <c:v>196.80765050898876</c:v>
                </c:pt>
              </c:numCache>
            </c:numRef>
          </c:val>
        </c:ser>
        <c:ser>
          <c:idx val="6"/>
          <c:order val="6"/>
          <c:tx>
            <c:strRef>
              <c:f>'All data'!$BU$2</c:f>
              <c:strCache>
                <c:ptCount val="1"/>
                <c:pt idx="0">
                  <c:v>SO42-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'All data'!$BO$19:$BO$50</c:f>
              <c:strCache>
                <c:ptCount val="31"/>
                <c:pt idx="0">
                  <c:v>Bogstadvannet</c:v>
                </c:pt>
                <c:pt idx="3">
                  <c:v>Lysakerelva</c:v>
                </c:pt>
                <c:pt idx="6">
                  <c:v>Maridalsvannet</c:v>
                </c:pt>
                <c:pt idx="9">
                  <c:v>Akerselva</c:v>
                </c:pt>
                <c:pt idx="12">
                  <c:v>Østensjøvann</c:v>
                </c:pt>
                <c:pt idx="15">
                  <c:v>Kolbotntjernet</c:v>
                </c:pt>
                <c:pt idx="18">
                  <c:v>Årungen</c:v>
                </c:pt>
                <c:pt idx="21">
                  <c:v>Gjersjøen</c:v>
                </c:pt>
                <c:pt idx="24">
                  <c:v>Sværsvann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data'!$BU$19:$BU$50</c:f>
              <c:numCache>
                <c:formatCode>0.0</c:formatCode>
                <c:ptCount val="32"/>
                <c:pt idx="1">
                  <c:v>62.050279145016773</c:v>
                </c:pt>
                <c:pt idx="4">
                  <c:v>98.831544636916732</c:v>
                </c:pt>
                <c:pt idx="7">
                  <c:v>42.876114277136558</c:v>
                </c:pt>
                <c:pt idx="10">
                  <c:v>140.95367723979746</c:v>
                </c:pt>
                <c:pt idx="13">
                  <c:v>392.22092432931862</c:v>
                </c:pt>
                <c:pt idx="16">
                  <c:v>443.39337188307553</c:v>
                </c:pt>
                <c:pt idx="19">
                  <c:v>279.4694203037501</c:v>
                </c:pt>
                <c:pt idx="22">
                  <c:v>370.80521221449959</c:v>
                </c:pt>
                <c:pt idx="25">
                  <c:v>55.571750129536277</c:v>
                </c:pt>
                <c:pt idx="28">
                  <c:v>149.72092421819798</c:v>
                </c:pt>
                <c:pt idx="31">
                  <c:v>177.2117085205779</c:v>
                </c:pt>
              </c:numCache>
            </c:numRef>
          </c:val>
        </c:ser>
        <c:ser>
          <c:idx val="7"/>
          <c:order val="7"/>
          <c:tx>
            <c:strRef>
              <c:f>'All data'!$BV$2</c:f>
              <c:strCache>
                <c:ptCount val="1"/>
                <c:pt idx="0">
                  <c:v>NO3-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'All data'!$BO$19:$BO$50</c:f>
              <c:strCache>
                <c:ptCount val="31"/>
                <c:pt idx="0">
                  <c:v>Bogstadvannet</c:v>
                </c:pt>
                <c:pt idx="3">
                  <c:v>Lysakerelva</c:v>
                </c:pt>
                <c:pt idx="6">
                  <c:v>Maridalsvannet</c:v>
                </c:pt>
                <c:pt idx="9">
                  <c:v>Akerselva</c:v>
                </c:pt>
                <c:pt idx="12">
                  <c:v>Østensjøvann</c:v>
                </c:pt>
                <c:pt idx="15">
                  <c:v>Kolbotntjernet</c:v>
                </c:pt>
                <c:pt idx="18">
                  <c:v>Årungen</c:v>
                </c:pt>
                <c:pt idx="21">
                  <c:v>Gjersjøen</c:v>
                </c:pt>
                <c:pt idx="24">
                  <c:v>Sværsvann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data'!$BV$19:$BV$50</c:f>
              <c:numCache>
                <c:formatCode>0.0</c:formatCode>
                <c:ptCount val="32"/>
                <c:pt idx="1">
                  <c:v>21.301952464071096</c:v>
                </c:pt>
                <c:pt idx="4">
                  <c:v>22.580694820869834</c:v>
                </c:pt>
                <c:pt idx="7">
                  <c:v>19.495707505041018</c:v>
                </c:pt>
                <c:pt idx="10">
                  <c:v>20.094584251107008</c:v>
                </c:pt>
                <c:pt idx="13">
                  <c:v>38.364176324307188</c:v>
                </c:pt>
                <c:pt idx="16">
                  <c:v>16.543371533261933</c:v>
                </c:pt>
                <c:pt idx="19">
                  <c:v>113.02145967011192</c:v>
                </c:pt>
                <c:pt idx="22">
                  <c:v>68.476355922041535</c:v>
                </c:pt>
                <c:pt idx="25">
                  <c:v>12.372140543229138</c:v>
                </c:pt>
                <c:pt idx="28">
                  <c:v>13.778463794285559</c:v>
                </c:pt>
                <c:pt idx="31">
                  <c:v>13.977359362543515</c:v>
                </c:pt>
              </c:numCache>
            </c:numRef>
          </c:val>
        </c:ser>
        <c:ser>
          <c:idx val="8"/>
          <c:order val="8"/>
          <c:tx>
            <c:strRef>
              <c:f>'All data'!$BW$2</c:f>
              <c:strCache>
                <c:ptCount val="1"/>
                <c:pt idx="0">
                  <c:v>Cl-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'All data'!$BO$19:$BO$50</c:f>
              <c:strCache>
                <c:ptCount val="31"/>
                <c:pt idx="0">
                  <c:v>Bogstadvannet</c:v>
                </c:pt>
                <c:pt idx="3">
                  <c:v>Lysakerelva</c:v>
                </c:pt>
                <c:pt idx="6">
                  <c:v>Maridalsvannet</c:v>
                </c:pt>
                <c:pt idx="9">
                  <c:v>Akerselva</c:v>
                </c:pt>
                <c:pt idx="12">
                  <c:v>Østensjøvann</c:v>
                </c:pt>
                <c:pt idx="15">
                  <c:v>Kolbotntjernet</c:v>
                </c:pt>
                <c:pt idx="18">
                  <c:v>Årungen</c:v>
                </c:pt>
                <c:pt idx="21">
                  <c:v>Gjersjøen</c:v>
                </c:pt>
                <c:pt idx="24">
                  <c:v>Sværsvann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data'!$BW$19:$BW$50</c:f>
              <c:numCache>
                <c:formatCode>0</c:formatCode>
                <c:ptCount val="32"/>
                <c:pt idx="1">
                  <c:v>74.084981268839016</c:v>
                </c:pt>
                <c:pt idx="4">
                  <c:v>104.5369364671419</c:v>
                </c:pt>
                <c:pt idx="7">
                  <c:v>45.668162762036026</c:v>
                </c:pt>
                <c:pt idx="10">
                  <c:v>466.43887578643898</c:v>
                </c:pt>
                <c:pt idx="13">
                  <c:v>709.07492764518429</c:v>
                </c:pt>
                <c:pt idx="16">
                  <c:v>1182.8447303508256</c:v>
                </c:pt>
                <c:pt idx="19">
                  <c:v>983.78169547252264</c:v>
                </c:pt>
                <c:pt idx="22">
                  <c:v>881.5829104718398</c:v>
                </c:pt>
                <c:pt idx="25">
                  <c:v>309.12904511492502</c:v>
                </c:pt>
                <c:pt idx="28">
                  <c:v>374.51644392192884</c:v>
                </c:pt>
                <c:pt idx="31">
                  <c:v>76.051344573766841</c:v>
                </c:pt>
              </c:numCache>
            </c:numRef>
          </c:val>
        </c:ser>
        <c:ser>
          <c:idx val="9"/>
          <c:order val="9"/>
          <c:tx>
            <c:strRef>
              <c:f>'All data'!$BX$2</c:f>
              <c:strCache>
                <c:ptCount val="1"/>
                <c:pt idx="0">
                  <c:v>Tot-F</c:v>
                </c:pt>
              </c:strCache>
            </c:strRef>
          </c:tx>
          <c:invertIfNegative val="0"/>
          <c:cat>
            <c:strRef>
              <c:f>'All data'!$BO$19:$BO$50</c:f>
              <c:strCache>
                <c:ptCount val="31"/>
                <c:pt idx="0">
                  <c:v>Bogstadvannet</c:v>
                </c:pt>
                <c:pt idx="3">
                  <c:v>Lysakerelva</c:v>
                </c:pt>
                <c:pt idx="6">
                  <c:v>Maridalsvannet</c:v>
                </c:pt>
                <c:pt idx="9">
                  <c:v>Akerselva</c:v>
                </c:pt>
                <c:pt idx="12">
                  <c:v>Østensjøvann</c:v>
                </c:pt>
                <c:pt idx="15">
                  <c:v>Kolbotntjernet</c:v>
                </c:pt>
                <c:pt idx="18">
                  <c:v>Årungen</c:v>
                </c:pt>
                <c:pt idx="21">
                  <c:v>Gjersjøen</c:v>
                </c:pt>
                <c:pt idx="24">
                  <c:v>Sværsvann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data'!$BX$19:$BX$47</c:f>
              <c:numCache>
                <c:formatCode>0</c:formatCode>
                <c:ptCount val="29"/>
                <c:pt idx="1">
                  <c:v>4.1231549006771813</c:v>
                </c:pt>
                <c:pt idx="4">
                  <c:v>4.3760855852845566</c:v>
                </c:pt>
                <c:pt idx="7">
                  <c:v>3.5626360733597537</c:v>
                </c:pt>
                <c:pt idx="10">
                  <c:v>4.5810414681776477</c:v>
                </c:pt>
                <c:pt idx="13">
                  <c:v>7.3025829958268194</c:v>
                </c:pt>
                <c:pt idx="16">
                  <c:v>7.3131667439393659</c:v>
                </c:pt>
                <c:pt idx="19">
                  <c:v>12.943055541371958</c:v>
                </c:pt>
                <c:pt idx="22">
                  <c:v>7.9284829702419604</c:v>
                </c:pt>
                <c:pt idx="25">
                  <c:v>3.2991503956156878</c:v>
                </c:pt>
                <c:pt idx="28">
                  <c:v>3.5946633654655851</c:v>
                </c:pt>
              </c:numCache>
            </c:numRef>
          </c:val>
        </c:ser>
        <c:ser>
          <c:idx val="10"/>
          <c:order val="10"/>
          <c:tx>
            <c:strRef>
              <c:f>'All data'!$BY$2</c:f>
              <c:strCache>
                <c:ptCount val="1"/>
                <c:pt idx="0">
                  <c:v>PO43-</c:v>
                </c:pt>
              </c:strCache>
            </c:strRef>
          </c:tx>
          <c:invertIfNegative val="0"/>
          <c:cat>
            <c:strRef>
              <c:f>'All data'!$BO$19:$BO$50</c:f>
              <c:strCache>
                <c:ptCount val="31"/>
                <c:pt idx="0">
                  <c:v>Bogstadvannet</c:v>
                </c:pt>
                <c:pt idx="3">
                  <c:v>Lysakerelva</c:v>
                </c:pt>
                <c:pt idx="6">
                  <c:v>Maridalsvannet</c:v>
                </c:pt>
                <c:pt idx="9">
                  <c:v>Akerselva</c:v>
                </c:pt>
                <c:pt idx="12">
                  <c:v>Østensjøvann</c:v>
                </c:pt>
                <c:pt idx="15">
                  <c:v>Kolbotntjernet</c:v>
                </c:pt>
                <c:pt idx="18">
                  <c:v>Årungen</c:v>
                </c:pt>
                <c:pt idx="21">
                  <c:v>Gjersjøen</c:v>
                </c:pt>
                <c:pt idx="24">
                  <c:v>Sværsvann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data'!$BY$19:$BY$47</c:f>
              <c:numCache>
                <c:formatCode>0.00</c:formatCode>
                <c:ptCount val="29"/>
                <c:pt idx="1">
                  <c:v>6.3125315654440697E-2</c:v>
                </c:pt>
                <c:pt idx="4">
                  <c:v>0.13831398612250556</c:v>
                </c:pt>
                <c:pt idx="7">
                  <c:v>1.2999535342397457E-2</c:v>
                </c:pt>
                <c:pt idx="10">
                  <c:v>1.8425905167319754</c:v>
                </c:pt>
                <c:pt idx="13">
                  <c:v>2.9704205737529485</c:v>
                </c:pt>
                <c:pt idx="16">
                  <c:v>0.68969756955498118</c:v>
                </c:pt>
                <c:pt idx="19">
                  <c:v>0.51425733846282995</c:v>
                </c:pt>
                <c:pt idx="22">
                  <c:v>0.13831398612250556</c:v>
                </c:pt>
                <c:pt idx="25">
                  <c:v>6.3125315654440697E-2</c:v>
                </c:pt>
                <c:pt idx="28">
                  <c:v>1.2999535342397457E-2</c:v>
                </c:pt>
              </c:numCache>
            </c:numRef>
          </c:val>
        </c:ser>
        <c:ser>
          <c:idx val="0"/>
          <c:order val="11"/>
          <c:tx>
            <c:strRef>
              <c:f>'All data'!$BM$2</c:f>
              <c:strCache>
                <c:ptCount val="1"/>
                <c:pt idx="0">
                  <c:v>Org. charge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'All data'!$BO$19:$BO$50</c:f>
              <c:strCache>
                <c:ptCount val="31"/>
                <c:pt idx="0">
                  <c:v>Bogstadvannet</c:v>
                </c:pt>
                <c:pt idx="3">
                  <c:v>Lysakerelva</c:v>
                </c:pt>
                <c:pt idx="6">
                  <c:v>Maridalsvannet</c:v>
                </c:pt>
                <c:pt idx="9">
                  <c:v>Akerselva</c:v>
                </c:pt>
                <c:pt idx="12">
                  <c:v>Østensjøvann</c:v>
                </c:pt>
                <c:pt idx="15">
                  <c:v>Kolbotntjernet</c:v>
                </c:pt>
                <c:pt idx="18">
                  <c:v>Årungen</c:v>
                </c:pt>
                <c:pt idx="21">
                  <c:v>Gjersjøen</c:v>
                </c:pt>
                <c:pt idx="24">
                  <c:v>Sværsvann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data'!$CA$19:$CA$50</c:f>
              <c:numCache>
                <c:formatCode>0</c:formatCode>
                <c:ptCount val="32"/>
                <c:pt idx="1">
                  <c:v>35.587094755821454</c:v>
                </c:pt>
                <c:pt idx="4">
                  <c:v>34.578714750085958</c:v>
                </c:pt>
                <c:pt idx="7">
                  <c:v>25.30793431239659</c:v>
                </c:pt>
                <c:pt idx="10">
                  <c:v>37.616236566537999</c:v>
                </c:pt>
                <c:pt idx="13">
                  <c:v>37.892939998085922</c:v>
                </c:pt>
                <c:pt idx="16">
                  <c:v>29.316482083177629</c:v>
                </c:pt>
                <c:pt idx="19">
                  <c:v>39.199448857942386</c:v>
                </c:pt>
                <c:pt idx="22">
                  <c:v>28.632285105479664</c:v>
                </c:pt>
                <c:pt idx="25">
                  <c:v>10.352542844677746</c:v>
                </c:pt>
                <c:pt idx="28">
                  <c:v>23.627814299599386</c:v>
                </c:pt>
                <c:pt idx="31">
                  <c:v>42.18386350946912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46610432"/>
        <c:axId val="146620416"/>
      </c:barChart>
      <c:catAx>
        <c:axId val="146610432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146620416"/>
        <c:crosses val="autoZero"/>
        <c:auto val="1"/>
        <c:lblAlgn val="ctr"/>
        <c:lblOffset val="100"/>
        <c:noMultiLvlLbl val="0"/>
      </c:catAx>
      <c:valAx>
        <c:axId val="1466204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146610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424079303942739"/>
          <c:y val="8.3069494090950616E-2"/>
          <c:w val="9.5759236179133428E-2"/>
          <c:h val="0.6601936790321154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Tin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628346456692913"/>
          <c:y val="0.16251166520851559"/>
          <c:w val="0.81670297462817143"/>
          <c:h val="0.53014836687080769"/>
        </c:manualLayout>
      </c:layout>
      <c:barChart>
        <c:barDir val="col"/>
        <c:grouping val="percentStacked"/>
        <c:varyColors val="0"/>
        <c:ser>
          <c:idx val="1"/>
          <c:order val="0"/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'All data'!$AH$20:$AH$30</c:f>
              <c:strCache>
                <c:ptCount val="11"/>
                <c:pt idx="0">
                  <c:v>Bogstadvannet</c:v>
                </c:pt>
                <c:pt idx="1">
                  <c:v>Lysakerelva</c:v>
                </c:pt>
                <c:pt idx="2">
                  <c:v>Akerselva</c:v>
                </c:pt>
                <c:pt idx="3">
                  <c:v>Årungen</c:v>
                </c:pt>
                <c:pt idx="4">
                  <c:v>Gjersjøen</c:v>
                </c:pt>
                <c:pt idx="5">
                  <c:v>Kolbotntjernet</c:v>
                </c:pt>
                <c:pt idx="6">
                  <c:v>Sværsvann</c:v>
                </c:pt>
                <c:pt idx="7">
                  <c:v>Østensjøvann</c:v>
                </c:pt>
                <c:pt idx="8">
                  <c:v>Lutvann</c:v>
                </c:pt>
                <c:pt idx="9">
                  <c:v>Maridalsvannet</c:v>
                </c:pt>
                <c:pt idx="10">
                  <c:v>Nesøytjernet</c:v>
                </c:pt>
              </c:strCache>
            </c:strRef>
          </c:cat>
          <c:val>
            <c:numRef>
              <c:f>'All data'!$AY$20:$AY$30</c:f>
              <c:numCache>
                <c:formatCode>0.00</c:formatCode>
                <c:ptCount val="11"/>
                <c:pt idx="0">
                  <c:v>7.5815011372251705E-4</c:v>
                </c:pt>
                <c:pt idx="1">
                  <c:v>9.2662791677196538E-4</c:v>
                </c:pt>
                <c:pt idx="2">
                  <c:v>1.4320613259203099E-3</c:v>
                </c:pt>
                <c:pt idx="3">
                  <c:v>5.0543340914834466E-4</c:v>
                </c:pt>
                <c:pt idx="4">
                  <c:v>5.0543340914834466E-4</c:v>
                </c:pt>
                <c:pt idx="5">
                  <c:v>9.2662791677196538E-4</c:v>
                </c:pt>
                <c:pt idx="6">
                  <c:v>7.5815011372251705E-4</c:v>
                </c:pt>
                <c:pt idx="7">
                  <c:v>8.4238901524724122E-4</c:v>
                </c:pt>
                <c:pt idx="8">
                  <c:v>5.8967231067306883E-4</c:v>
                </c:pt>
                <c:pt idx="9">
                  <c:v>5.8967231067306883E-4</c:v>
                </c:pt>
                <c:pt idx="10">
                  <c:v>5.0543340914834477E-4</c:v>
                </c:pt>
              </c:numCache>
            </c:numRef>
          </c:val>
        </c:ser>
        <c:ser>
          <c:idx val="0"/>
          <c:order val="1"/>
          <c:invertIfNegative val="0"/>
          <c:cat>
            <c:strRef>
              <c:f>'All data'!$AH$20:$AH$30</c:f>
              <c:strCache>
                <c:ptCount val="11"/>
                <c:pt idx="0">
                  <c:v>Bogstadvannet</c:v>
                </c:pt>
                <c:pt idx="1">
                  <c:v>Lysakerelva</c:v>
                </c:pt>
                <c:pt idx="2">
                  <c:v>Akerselva</c:v>
                </c:pt>
                <c:pt idx="3">
                  <c:v>Årungen</c:v>
                </c:pt>
                <c:pt idx="4">
                  <c:v>Gjersjøen</c:v>
                </c:pt>
                <c:pt idx="5">
                  <c:v>Kolbotntjernet</c:v>
                </c:pt>
                <c:pt idx="6">
                  <c:v>Sværsvann</c:v>
                </c:pt>
                <c:pt idx="7">
                  <c:v>Østensjøvann</c:v>
                </c:pt>
                <c:pt idx="8">
                  <c:v>Lutvann</c:v>
                </c:pt>
                <c:pt idx="9">
                  <c:v>Maridalsvannet</c:v>
                </c:pt>
                <c:pt idx="10">
                  <c:v>Nesøytjernet</c:v>
                </c:pt>
              </c:strCache>
            </c:strRef>
          </c:cat>
          <c:val>
            <c:numRef>
              <c:f>'All data'!$AP$20:$AP$30</c:f>
              <c:numCache>
                <c:formatCode>0.000</c:formatCode>
                <c:ptCount val="11"/>
                <c:pt idx="0">
                  <c:v>4.2119450762362061E-4</c:v>
                </c:pt>
                <c:pt idx="1">
                  <c:v>5.8967231067306894E-4</c:v>
                </c:pt>
                <c:pt idx="2">
                  <c:v>4.2119450762362061E-4</c:v>
                </c:pt>
                <c:pt idx="3">
                  <c:v>2.5271670457417233E-4</c:v>
                </c:pt>
                <c:pt idx="4">
                  <c:v>2.5271670457417233E-4</c:v>
                </c:pt>
                <c:pt idx="5">
                  <c:v>6.7391121219779299E-4</c:v>
                </c:pt>
                <c:pt idx="6">
                  <c:v>2.5271670457417233E-4</c:v>
                </c:pt>
                <c:pt idx="7">
                  <c:v>5.0543340914834466E-4</c:v>
                </c:pt>
                <c:pt idx="8">
                  <c:v>4.2119450762362061E-4</c:v>
                </c:pt>
                <c:pt idx="9">
                  <c:v>3.369556060988965E-4</c:v>
                </c:pt>
                <c:pt idx="10">
                  <c:v>3.369556060988965E-4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828544"/>
        <c:axId val="148830080"/>
      </c:barChart>
      <c:catAx>
        <c:axId val="148828544"/>
        <c:scaling>
          <c:orientation val="minMax"/>
        </c:scaling>
        <c:delete val="0"/>
        <c:axPos val="b"/>
        <c:majorTickMark val="out"/>
        <c:minorTickMark val="none"/>
        <c:tickLblPos val="nextTo"/>
        <c:crossAx val="148830080"/>
        <c:crosses val="autoZero"/>
        <c:auto val="1"/>
        <c:lblAlgn val="ctr"/>
        <c:lblOffset val="100"/>
        <c:noMultiLvlLbl val="0"/>
      </c:catAx>
      <c:valAx>
        <c:axId val="148830080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crossAx val="148828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Lead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628346456692913"/>
          <c:y val="0.16251166520851559"/>
          <c:w val="0.81670297462817143"/>
          <c:h val="0.53014836687080769"/>
        </c:manualLayout>
      </c:layout>
      <c:barChart>
        <c:barDir val="col"/>
        <c:grouping val="percentStacked"/>
        <c:varyColors val="0"/>
        <c:ser>
          <c:idx val="1"/>
          <c:order val="0"/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'All data'!$AH$20:$AH$30</c:f>
              <c:strCache>
                <c:ptCount val="11"/>
                <c:pt idx="0">
                  <c:v>Bogstadvannet</c:v>
                </c:pt>
                <c:pt idx="1">
                  <c:v>Lysakerelva</c:v>
                </c:pt>
                <c:pt idx="2">
                  <c:v>Akerselva</c:v>
                </c:pt>
                <c:pt idx="3">
                  <c:v>Årungen</c:v>
                </c:pt>
                <c:pt idx="4">
                  <c:v>Gjersjøen</c:v>
                </c:pt>
                <c:pt idx="5">
                  <c:v>Kolbotntjernet</c:v>
                </c:pt>
                <c:pt idx="6">
                  <c:v>Sværsvann</c:v>
                </c:pt>
                <c:pt idx="7">
                  <c:v>Østensjøvann</c:v>
                </c:pt>
                <c:pt idx="8">
                  <c:v>Lutvann</c:v>
                </c:pt>
                <c:pt idx="9">
                  <c:v>Maridalsvannet</c:v>
                </c:pt>
                <c:pt idx="10">
                  <c:v>Nesøytjernet</c:v>
                </c:pt>
              </c:strCache>
            </c:strRef>
          </c:cat>
          <c:val>
            <c:numRef>
              <c:f>'All data'!$AZ$20:$AZ$30</c:f>
              <c:numCache>
                <c:formatCode>0.00</c:formatCode>
                <c:ptCount val="11"/>
                <c:pt idx="0">
                  <c:v>4.6357201027375809E-3</c:v>
                </c:pt>
                <c:pt idx="1">
                  <c:v>3.4454676439265803E-3</c:v>
                </c:pt>
                <c:pt idx="2">
                  <c:v>1.8699492576583349E-2</c:v>
                </c:pt>
                <c:pt idx="3">
                  <c:v>4.6043976696109757E-3</c:v>
                </c:pt>
                <c:pt idx="4">
                  <c:v>1.8793459875963165E-3</c:v>
                </c:pt>
                <c:pt idx="5">
                  <c:v>1.12760759255779E-3</c:v>
                </c:pt>
                <c:pt idx="6">
                  <c:v>3.4454676439265803E-3</c:v>
                </c:pt>
                <c:pt idx="7">
                  <c:v>4.7610098352440016E-3</c:v>
                </c:pt>
                <c:pt idx="8">
                  <c:v>6.890935287853161E-4</c:v>
                </c:pt>
                <c:pt idx="9">
                  <c:v>2.1925703188623688E-3</c:v>
                </c:pt>
                <c:pt idx="10">
                  <c:v>1.1589300256843952E-3</c:v>
                </c:pt>
              </c:numCache>
            </c:numRef>
          </c:val>
        </c:ser>
        <c:ser>
          <c:idx val="0"/>
          <c:order val="1"/>
          <c:invertIfNegative val="0"/>
          <c:cat>
            <c:strRef>
              <c:f>'All data'!$AH$20:$AH$30</c:f>
              <c:strCache>
                <c:ptCount val="11"/>
                <c:pt idx="0">
                  <c:v>Bogstadvannet</c:v>
                </c:pt>
                <c:pt idx="1">
                  <c:v>Lysakerelva</c:v>
                </c:pt>
                <c:pt idx="2">
                  <c:v>Akerselva</c:v>
                </c:pt>
                <c:pt idx="3">
                  <c:v>Årungen</c:v>
                </c:pt>
                <c:pt idx="4">
                  <c:v>Gjersjøen</c:v>
                </c:pt>
                <c:pt idx="5">
                  <c:v>Kolbotntjernet</c:v>
                </c:pt>
                <c:pt idx="6">
                  <c:v>Sværsvann</c:v>
                </c:pt>
                <c:pt idx="7">
                  <c:v>Østensjøvann</c:v>
                </c:pt>
                <c:pt idx="8">
                  <c:v>Lutvann</c:v>
                </c:pt>
                <c:pt idx="9">
                  <c:v>Maridalsvannet</c:v>
                </c:pt>
                <c:pt idx="10">
                  <c:v>Nesøytjernet</c:v>
                </c:pt>
              </c:strCache>
            </c:strRef>
          </c:cat>
          <c:val>
            <c:numRef>
              <c:f>'All data'!$AQ$20:$AQ$30</c:f>
              <c:numCache>
                <c:formatCode>0.000</c:formatCode>
                <c:ptCount val="11"/>
                <c:pt idx="0">
                  <c:v>1.3155421913174216E-3</c:v>
                </c:pt>
                <c:pt idx="1">
                  <c:v>1.0023178600513688E-3</c:v>
                </c:pt>
                <c:pt idx="2">
                  <c:v>2.3178600513687904E-3</c:v>
                </c:pt>
                <c:pt idx="3">
                  <c:v>2.6937292488880536E-3</c:v>
                </c:pt>
                <c:pt idx="4">
                  <c:v>1.5661216563302638E-4</c:v>
                </c:pt>
                <c:pt idx="5">
                  <c:v>1.8793459875963165E-4</c:v>
                </c:pt>
                <c:pt idx="6">
                  <c:v>1.0649627263045792E-3</c:v>
                </c:pt>
                <c:pt idx="7">
                  <c:v>1.033640293177974E-3</c:v>
                </c:pt>
                <c:pt idx="8">
                  <c:v>6.2644866253210553E-5</c:v>
                </c:pt>
                <c:pt idx="9">
                  <c:v>6.2644866253210553E-5</c:v>
                </c:pt>
                <c:pt idx="10">
                  <c:v>4.3851406377247388E-4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846848"/>
        <c:axId val="148852736"/>
      </c:barChart>
      <c:catAx>
        <c:axId val="148846848"/>
        <c:scaling>
          <c:orientation val="minMax"/>
        </c:scaling>
        <c:delete val="0"/>
        <c:axPos val="b"/>
        <c:majorTickMark val="out"/>
        <c:minorTickMark val="none"/>
        <c:tickLblPos val="nextTo"/>
        <c:crossAx val="148852736"/>
        <c:crosses val="autoZero"/>
        <c:auto val="1"/>
        <c:lblAlgn val="ctr"/>
        <c:lblOffset val="100"/>
        <c:noMultiLvlLbl val="0"/>
      </c:catAx>
      <c:valAx>
        <c:axId val="148852736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crossAx val="148846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0"/>
            <c:trendlineLbl>
              <c:layout/>
              <c:numFmt formatCode="General" sourceLinked="0"/>
            </c:trendlineLbl>
          </c:trendline>
          <c:xVal>
            <c:numRef>
              <c:f>'All data'!$AU$4:$AU$14</c:f>
              <c:numCache>
                <c:formatCode>0.00</c:formatCode>
                <c:ptCount val="11"/>
                <c:pt idx="0">
                  <c:v>2.9803990078934457</c:v>
                </c:pt>
                <c:pt idx="1">
                  <c:v>4.7470767520003845</c:v>
                </c:pt>
                <c:pt idx="2">
                  <c:v>2.0594255209594228</c:v>
                </c:pt>
                <c:pt idx="3">
                  <c:v>6.7702870251819514</c:v>
                </c:pt>
                <c:pt idx="4">
                  <c:v>13.423475196029724</c:v>
                </c:pt>
                <c:pt idx="5">
                  <c:v>17.810515953086842</c:v>
                </c:pt>
                <c:pt idx="6">
                  <c:v>21.297070438287882</c:v>
                </c:pt>
                <c:pt idx="7">
                  <c:v>2.6692223022218862</c:v>
                </c:pt>
                <c:pt idx="8">
                  <c:v>18.839155437385831</c:v>
                </c:pt>
                <c:pt idx="9">
                  <c:v>8.5118327836603971</c:v>
                </c:pt>
                <c:pt idx="10">
                  <c:v>7.1913954320484859</c:v>
                </c:pt>
              </c:numCache>
            </c:numRef>
          </c:xVal>
          <c:yVal>
            <c:numRef>
              <c:f>'All data'!$AW$4:$AW$14</c:f>
              <c:numCache>
                <c:formatCode>0.00</c:formatCode>
                <c:ptCount val="11"/>
                <c:pt idx="0">
                  <c:v>2.6265348409241498</c:v>
                </c:pt>
                <c:pt idx="1">
                  <c:v>3.7061480085695822</c:v>
                </c:pt>
                <c:pt idx="2">
                  <c:v>1.6190733744024632</c:v>
                </c:pt>
                <c:pt idx="3">
                  <c:v>16.536657463256624</c:v>
                </c:pt>
                <c:pt idx="4">
                  <c:v>34.878012449587345</c:v>
                </c:pt>
                <c:pt idx="5">
                  <c:v>31.254758924958139</c:v>
                </c:pt>
                <c:pt idx="6">
                  <c:v>41.935394225127823</c:v>
                </c:pt>
                <c:pt idx="7">
                  <c:v>10.959552036459437</c:v>
                </c:pt>
                <c:pt idx="8">
                  <c:v>25.138833409804722</c:v>
                </c:pt>
                <c:pt idx="9">
                  <c:v>2.6962483191737561</c:v>
                </c:pt>
                <c:pt idx="10">
                  <c:v>13.277731486364145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865792"/>
        <c:axId val="148867712"/>
      </c:scatterChart>
      <c:valAx>
        <c:axId val="148865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SO4 (ueq/L)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48867712"/>
        <c:crosses val="autoZero"/>
        <c:crossBetween val="midCat"/>
      </c:valAx>
      <c:valAx>
        <c:axId val="1488677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Cl (ueq/L)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488657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'All data'!$BA$2</c:f>
              <c:strCache>
                <c:ptCount val="1"/>
                <c:pt idx="0">
                  <c:v>Free PO4</c:v>
                </c:pt>
              </c:strCache>
            </c:strRef>
          </c:tx>
          <c:invertIfNegative val="0"/>
          <c:cat>
            <c:strRef>
              <c:f>'All data'!$C$4:$C$14</c:f>
              <c:strCache>
                <c:ptCount val="11"/>
                <c:pt idx="0">
                  <c:v>Bogstadvannet</c:v>
                </c:pt>
                <c:pt idx="1">
                  <c:v>Lysakerelva</c:v>
                </c:pt>
                <c:pt idx="2">
                  <c:v>Maridalsvannet</c:v>
                </c:pt>
                <c:pt idx="3">
                  <c:v>Akerselva</c:v>
                </c:pt>
                <c:pt idx="4">
                  <c:v>Årungen</c:v>
                </c:pt>
                <c:pt idx="5">
                  <c:v>Gjersjøen</c:v>
                </c:pt>
                <c:pt idx="6">
                  <c:v>Kolbotntjernet</c:v>
                </c:pt>
                <c:pt idx="7">
                  <c:v>Sværsvann</c:v>
                </c:pt>
                <c:pt idx="8">
                  <c:v>Østensjøvann</c:v>
                </c:pt>
                <c:pt idx="9">
                  <c:v>Lutvann</c:v>
                </c:pt>
                <c:pt idx="10">
                  <c:v>Nesøytjernet</c:v>
                </c:pt>
              </c:strCache>
            </c:strRef>
          </c:cat>
          <c:val>
            <c:numRef>
              <c:f>'All data'!$BA$4:$BA$14</c:f>
              <c:numCache>
                <c:formatCode>0.00</c:formatCode>
                <c:ptCount val="11"/>
                <c:pt idx="0">
                  <c:v>0.6516636752726761</c:v>
                </c:pt>
                <c:pt idx="1">
                  <c:v>1.4278613834046656</c:v>
                </c:pt>
                <c:pt idx="2">
                  <c:v>0.13419853651801641</c:v>
                </c:pt>
                <c:pt idx="3" formatCode="0.0">
                  <c:v>19.021676101063093</c:v>
                </c:pt>
                <c:pt idx="4">
                  <c:v>5.3088499240646136</c:v>
                </c:pt>
                <c:pt idx="5">
                  <c:v>1.4278613834046656</c:v>
                </c:pt>
                <c:pt idx="6">
                  <c:v>7.1199779097059226</c:v>
                </c:pt>
                <c:pt idx="7">
                  <c:v>0.6516636752726761</c:v>
                </c:pt>
                <c:pt idx="8" formatCode="0.0">
                  <c:v>30.664641723042937</c:v>
                </c:pt>
                <c:pt idx="9">
                  <c:v>0</c:v>
                </c:pt>
                <c:pt idx="10">
                  <c:v>0.13419853651801641</c:v>
                </c:pt>
              </c:numCache>
            </c:numRef>
          </c:val>
        </c:ser>
        <c:ser>
          <c:idx val="1"/>
          <c:order val="1"/>
          <c:tx>
            <c:strRef>
              <c:f>'All data'!$BB$2</c:f>
              <c:strCache>
                <c:ptCount val="1"/>
                <c:pt idx="0">
                  <c:v>DOP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'All data'!$C$4:$C$14</c:f>
              <c:strCache>
                <c:ptCount val="11"/>
                <c:pt idx="0">
                  <c:v>Bogstadvannet</c:v>
                </c:pt>
                <c:pt idx="1">
                  <c:v>Lysakerelva</c:v>
                </c:pt>
                <c:pt idx="2">
                  <c:v>Maridalsvannet</c:v>
                </c:pt>
                <c:pt idx="3">
                  <c:v>Akerselva</c:v>
                </c:pt>
                <c:pt idx="4">
                  <c:v>Årungen</c:v>
                </c:pt>
                <c:pt idx="5">
                  <c:v>Gjersjøen</c:v>
                </c:pt>
                <c:pt idx="6">
                  <c:v>Kolbotntjernet</c:v>
                </c:pt>
                <c:pt idx="7">
                  <c:v>Sværsvann</c:v>
                </c:pt>
                <c:pt idx="8">
                  <c:v>Østensjøvann</c:v>
                </c:pt>
                <c:pt idx="9">
                  <c:v>Lutvann</c:v>
                </c:pt>
                <c:pt idx="10">
                  <c:v>Nesøytjernet</c:v>
                </c:pt>
              </c:strCache>
            </c:strRef>
          </c:cat>
          <c:val>
            <c:numRef>
              <c:f>'All data'!$BB$4:$BB$14</c:f>
              <c:numCache>
                <c:formatCode>0.0</c:formatCode>
                <c:ptCount val="11"/>
                <c:pt idx="0">
                  <c:v>3.928336324727324</c:v>
                </c:pt>
                <c:pt idx="1">
                  <c:v>5.2521386165953343</c:v>
                </c:pt>
                <c:pt idx="2">
                  <c:v>0</c:v>
                </c:pt>
                <c:pt idx="3">
                  <c:v>19.598323898936904</c:v>
                </c:pt>
                <c:pt idx="4">
                  <c:v>13.311150075935387</c:v>
                </c:pt>
                <c:pt idx="5">
                  <c:v>3.3921386165953349</c:v>
                </c:pt>
                <c:pt idx="6">
                  <c:v>10.590022090294077</c:v>
                </c:pt>
                <c:pt idx="7">
                  <c:v>5.4483363247273235</c:v>
                </c:pt>
                <c:pt idx="8">
                  <c:v>38.465358276957062</c:v>
                </c:pt>
                <c:pt idx="9">
                  <c:v>0</c:v>
                </c:pt>
                <c:pt idx="10">
                  <c:v>2.1058014634819839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888576"/>
        <c:axId val="149304064"/>
      </c:barChart>
      <c:catAx>
        <c:axId val="148888576"/>
        <c:scaling>
          <c:orientation val="minMax"/>
        </c:scaling>
        <c:delete val="0"/>
        <c:axPos val="b"/>
        <c:majorTickMark val="out"/>
        <c:minorTickMark val="none"/>
        <c:tickLblPos val="nextTo"/>
        <c:crossAx val="149304064"/>
        <c:crosses val="autoZero"/>
        <c:auto val="1"/>
        <c:lblAlgn val="ctr"/>
        <c:lblOffset val="100"/>
        <c:noMultiLvlLbl val="0"/>
      </c:catAx>
      <c:valAx>
        <c:axId val="1493040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ug P/L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488885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'All data'!$CC$4:$CC$14</c:f>
              <c:numCache>
                <c:formatCode>0</c:formatCode>
                <c:ptCount val="11"/>
                <c:pt idx="0">
                  <c:v>7.4418251465231151</c:v>
                </c:pt>
                <c:pt idx="1">
                  <c:v>7.0548819731280048</c:v>
                </c:pt>
                <c:pt idx="2">
                  <c:v>1.4851152618576544</c:v>
                </c:pt>
                <c:pt idx="3">
                  <c:v>22.697066730719438</c:v>
                </c:pt>
                <c:pt idx="4">
                  <c:v>9.32297465011934</c:v>
                </c:pt>
                <c:pt idx="5">
                  <c:v>7.8373995597369088</c:v>
                </c:pt>
                <c:pt idx="6">
                  <c:v>5.2962996882097251</c:v>
                </c:pt>
                <c:pt idx="7">
                  <c:v>9.4642527236796425</c:v>
                </c:pt>
                <c:pt idx="8">
                  <c:v>10.496755015723631</c:v>
                </c:pt>
                <c:pt idx="9">
                  <c:v>10.436829995134929</c:v>
                </c:pt>
                <c:pt idx="10">
                  <c:v>14.05121006993989</c:v>
                </c:pt>
              </c:numCache>
            </c:numRef>
          </c:xVal>
          <c:yVal>
            <c:numRef>
              <c:f>'All data'!$BZ$4:$BZ$14</c:f>
              <c:numCache>
                <c:formatCode>0</c:formatCode>
                <c:ptCount val="11"/>
                <c:pt idx="0">
                  <c:v>210.30078665581024</c:v>
                </c:pt>
                <c:pt idx="1">
                  <c:v>315.150491258344</c:v>
                </c:pt>
                <c:pt idx="2">
                  <c:v>80.275484903459301</c:v>
                </c:pt>
                <c:pt idx="3">
                  <c:v>110.79899835272064</c:v>
                </c:pt>
                <c:pt idx="4">
                  <c:v>885.03333935433432</c:v>
                </c:pt>
                <c:pt idx="5">
                  <c:v>710.70463796542924</c:v>
                </c:pt>
                <c:pt idx="6">
                  <c:v>1042.613873279319</c:v>
                </c:pt>
                <c:pt idx="7">
                  <c:v>190.72396207725149</c:v>
                </c:pt>
                <c:pt idx="8">
                  <c:v>1345.4488349542421</c:v>
                </c:pt>
                <c:pt idx="9">
                  <c:v>196.80765050898876</c:v>
                </c:pt>
                <c:pt idx="10">
                  <c:v>1500.9347710876136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328256"/>
        <c:axId val="149330176"/>
      </c:scatterChart>
      <c:valAx>
        <c:axId val="149328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IB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49330176"/>
        <c:crosses val="autoZero"/>
        <c:crossBetween val="midCat"/>
      </c:valAx>
      <c:valAx>
        <c:axId val="1493301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Alkalinity (ueq/L)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493282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28018372703411"/>
          <c:y val="5.1400554097404488E-2"/>
          <c:w val="0.80208092738407699"/>
          <c:h val="0.89719889180519097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xVal>
            <c:numRef>
              <c:f>'All data'!$CC$4:$CC$14</c:f>
              <c:numCache>
                <c:formatCode>0</c:formatCode>
                <c:ptCount val="11"/>
                <c:pt idx="0">
                  <c:v>7.4418251465231151</c:v>
                </c:pt>
                <c:pt idx="1">
                  <c:v>7.0548819731280048</c:v>
                </c:pt>
                <c:pt idx="2">
                  <c:v>1.4851152618576544</c:v>
                </c:pt>
                <c:pt idx="3">
                  <c:v>22.697066730719438</c:v>
                </c:pt>
                <c:pt idx="4">
                  <c:v>9.32297465011934</c:v>
                </c:pt>
                <c:pt idx="5">
                  <c:v>7.8373995597369088</c:v>
                </c:pt>
                <c:pt idx="6">
                  <c:v>5.2962996882097251</c:v>
                </c:pt>
                <c:pt idx="7">
                  <c:v>9.4642527236796425</c:v>
                </c:pt>
                <c:pt idx="8">
                  <c:v>10.496755015723631</c:v>
                </c:pt>
                <c:pt idx="9">
                  <c:v>10.436829995134929</c:v>
                </c:pt>
                <c:pt idx="10">
                  <c:v>14.05121006993989</c:v>
                </c:pt>
              </c:numCache>
            </c:numRef>
          </c:xVal>
          <c:yVal>
            <c:numRef>
              <c:f>'All data'!$DC$4:$DC$14</c:f>
              <c:numCache>
                <c:formatCode>0</c:formatCode>
                <c:ptCount val="11"/>
                <c:pt idx="0">
                  <c:v>1.7836492727789113</c:v>
                </c:pt>
                <c:pt idx="1">
                  <c:v>22.230332501157925</c:v>
                </c:pt>
                <c:pt idx="2">
                  <c:v>4.8412649452501357</c:v>
                </c:pt>
                <c:pt idx="3">
                  <c:v>-13.794582021012145</c:v>
                </c:pt>
                <c:pt idx="4">
                  <c:v>-4.3350885183386367</c:v>
                </c:pt>
                <c:pt idx="5">
                  <c:v>-4.6623006763429409</c:v>
                </c:pt>
                <c:pt idx="6">
                  <c:v>-2.0998518313598611</c:v>
                </c:pt>
                <c:pt idx="7">
                  <c:v>-8.9065465452214756</c:v>
                </c:pt>
                <c:pt idx="8">
                  <c:v>-0.90428817515797466</c:v>
                </c:pt>
                <c:pt idx="9">
                  <c:v>-8.729573461925126</c:v>
                </c:pt>
                <c:pt idx="10">
                  <c:v>20.291740365642269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350656"/>
        <c:axId val="149372928"/>
      </c:scatterChart>
      <c:valAx>
        <c:axId val="14935065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49372928"/>
        <c:crosses val="autoZero"/>
        <c:crossBetween val="midCat"/>
      </c:valAx>
      <c:valAx>
        <c:axId val="1493729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Cond. Deviation %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493506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'All data'!$C$4:$C$14</c:f>
              <c:strCache>
                <c:ptCount val="11"/>
                <c:pt idx="0">
                  <c:v>Bogstadvannet</c:v>
                </c:pt>
                <c:pt idx="1">
                  <c:v>Lysakerelva</c:v>
                </c:pt>
                <c:pt idx="2">
                  <c:v>Maridalsvannet</c:v>
                </c:pt>
                <c:pt idx="3">
                  <c:v>Akerselva</c:v>
                </c:pt>
                <c:pt idx="4">
                  <c:v>Årungen</c:v>
                </c:pt>
                <c:pt idx="5">
                  <c:v>Gjersjøen</c:v>
                </c:pt>
                <c:pt idx="6">
                  <c:v>Kolbotntjernet</c:v>
                </c:pt>
                <c:pt idx="7">
                  <c:v>Sværsvann</c:v>
                </c:pt>
                <c:pt idx="8">
                  <c:v>Østensjøvann</c:v>
                </c:pt>
                <c:pt idx="9">
                  <c:v>Lutvann</c:v>
                </c:pt>
                <c:pt idx="10">
                  <c:v>Nesøytjernet</c:v>
                </c:pt>
              </c:strCache>
            </c:strRef>
          </c:cat>
          <c:val>
            <c:numRef>
              <c:f>'All data'!$AC$4:$AC$14</c:f>
              <c:numCache>
                <c:formatCode>0.000</c:formatCode>
                <c:ptCount val="11"/>
                <c:pt idx="0">
                  <c:v>3.3201779114201591E-3</c:v>
                </c:pt>
                <c:pt idx="1">
                  <c:v>2.4431497838752116E-3</c:v>
                </c:pt>
                <c:pt idx="2">
                  <c:v>2.1299254526091584E-3</c:v>
                </c:pt>
                <c:pt idx="3">
                  <c:v>1.6381632525214559E-2</c:v>
                </c:pt>
                <c:pt idx="4">
                  <c:v>1.9106684207229217E-3</c:v>
                </c:pt>
                <c:pt idx="5">
                  <c:v>1.7227338219632901E-3</c:v>
                </c:pt>
                <c:pt idx="6">
                  <c:v>9.3967299379815836E-4</c:v>
                </c:pt>
                <c:pt idx="7">
                  <c:v>2.3805049176220013E-3</c:v>
                </c:pt>
                <c:pt idx="8">
                  <c:v>3.7273695420660278E-3</c:v>
                </c:pt>
                <c:pt idx="9">
                  <c:v>6.264486625321055E-4</c:v>
                </c:pt>
                <c:pt idx="10">
                  <c:v>7.2041596191192139E-4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401600"/>
        <c:axId val="149403136"/>
      </c:barChart>
      <c:catAx>
        <c:axId val="149401600"/>
        <c:scaling>
          <c:orientation val="minMax"/>
        </c:scaling>
        <c:delete val="0"/>
        <c:axPos val="b"/>
        <c:majorTickMark val="out"/>
        <c:minorTickMark val="none"/>
        <c:tickLblPos val="nextTo"/>
        <c:crossAx val="149403136"/>
        <c:crosses val="autoZero"/>
        <c:auto val="1"/>
        <c:lblAlgn val="ctr"/>
        <c:lblOffset val="100"/>
        <c:noMultiLvlLbl val="0"/>
      </c:catAx>
      <c:valAx>
        <c:axId val="1494031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Pb (uM)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149401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'All data'!$C$4:$C$14</c:f>
              <c:strCache>
                <c:ptCount val="11"/>
                <c:pt idx="0">
                  <c:v>Bogstadvannet</c:v>
                </c:pt>
                <c:pt idx="1">
                  <c:v>Lysakerelva</c:v>
                </c:pt>
                <c:pt idx="2">
                  <c:v>Maridalsvannet</c:v>
                </c:pt>
                <c:pt idx="3">
                  <c:v>Akerselva</c:v>
                </c:pt>
                <c:pt idx="4">
                  <c:v>Årungen</c:v>
                </c:pt>
                <c:pt idx="5">
                  <c:v>Gjersjøen</c:v>
                </c:pt>
                <c:pt idx="6">
                  <c:v>Kolbotntjernet</c:v>
                </c:pt>
                <c:pt idx="7">
                  <c:v>Sværsvann</c:v>
                </c:pt>
                <c:pt idx="8">
                  <c:v>Østensjøvann</c:v>
                </c:pt>
                <c:pt idx="9">
                  <c:v>Lutvann</c:v>
                </c:pt>
                <c:pt idx="10">
                  <c:v>Nesøytjernet</c:v>
                </c:pt>
              </c:strCache>
            </c:strRef>
          </c:cat>
          <c:val>
            <c:numRef>
              <c:f>'All data'!$AB$4:$AB$14</c:f>
              <c:numCache>
                <c:formatCode>0.000</c:formatCode>
                <c:ptCount val="11"/>
                <c:pt idx="0">
                  <c:v>3.369556060988965E-4</c:v>
                </c:pt>
                <c:pt idx="1">
                  <c:v>3.369556060988965E-4</c:v>
                </c:pt>
                <c:pt idx="2">
                  <c:v>2.5271670457417233E-4</c:v>
                </c:pt>
                <c:pt idx="3">
                  <c:v>1.0108668182966893E-3</c:v>
                </c:pt>
                <c:pt idx="4">
                  <c:v>2.5271670457417233E-4</c:v>
                </c:pt>
                <c:pt idx="5">
                  <c:v>2.5271670457417233E-4</c:v>
                </c:pt>
                <c:pt idx="6">
                  <c:v>2.5271670457417233E-4</c:v>
                </c:pt>
                <c:pt idx="7">
                  <c:v>5.0543340914834466E-4</c:v>
                </c:pt>
                <c:pt idx="8">
                  <c:v>3.369556060988965E-4</c:v>
                </c:pt>
                <c:pt idx="9">
                  <c:v>1.6847780304944825E-4</c:v>
                </c:pt>
                <c:pt idx="10">
                  <c:v>1.6847780304944825E-4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489152"/>
        <c:axId val="149490688"/>
      </c:barChart>
      <c:catAx>
        <c:axId val="149489152"/>
        <c:scaling>
          <c:orientation val="minMax"/>
        </c:scaling>
        <c:delete val="0"/>
        <c:axPos val="b"/>
        <c:majorTickMark val="out"/>
        <c:minorTickMark val="none"/>
        <c:tickLblPos val="nextTo"/>
        <c:crossAx val="149490688"/>
        <c:crosses val="autoZero"/>
        <c:auto val="1"/>
        <c:lblAlgn val="ctr"/>
        <c:lblOffset val="100"/>
        <c:noMultiLvlLbl val="0"/>
      </c:catAx>
      <c:valAx>
        <c:axId val="1494906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Sn (uM)</a:t>
                </a:r>
              </a:p>
            </c:rich>
          </c:tx>
          <c:layout/>
          <c:overlay val="0"/>
        </c:title>
        <c:numFmt formatCode="0.0000" sourceLinked="0"/>
        <c:majorTickMark val="out"/>
        <c:minorTickMark val="none"/>
        <c:tickLblPos val="nextTo"/>
        <c:crossAx val="149489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'All data'!$C$4:$C$14</c:f>
              <c:strCache>
                <c:ptCount val="11"/>
                <c:pt idx="0">
                  <c:v>Bogstadvannet</c:v>
                </c:pt>
                <c:pt idx="1">
                  <c:v>Lysakerelva</c:v>
                </c:pt>
                <c:pt idx="2">
                  <c:v>Maridalsvannet</c:v>
                </c:pt>
                <c:pt idx="3">
                  <c:v>Akerselva</c:v>
                </c:pt>
                <c:pt idx="4">
                  <c:v>Årungen</c:v>
                </c:pt>
                <c:pt idx="5">
                  <c:v>Gjersjøen</c:v>
                </c:pt>
                <c:pt idx="6">
                  <c:v>Kolbotntjernet</c:v>
                </c:pt>
                <c:pt idx="7">
                  <c:v>Sværsvann</c:v>
                </c:pt>
                <c:pt idx="8">
                  <c:v>Østensjøvann</c:v>
                </c:pt>
                <c:pt idx="9">
                  <c:v>Lutvann</c:v>
                </c:pt>
                <c:pt idx="10">
                  <c:v>Nesøytjernet</c:v>
                </c:pt>
              </c:strCache>
            </c:strRef>
          </c:cat>
          <c:val>
            <c:numRef>
              <c:f>'All data'!$AA$4:$AA$14</c:f>
              <c:numCache>
                <c:formatCode>0.000</c:formatCode>
                <c:ptCount val="11"/>
                <c:pt idx="0">
                  <c:v>1.7791853110460721E-4</c:v>
                </c:pt>
                <c:pt idx="1">
                  <c:v>8.8959265552303603E-5</c:v>
                </c:pt>
                <c:pt idx="2">
                  <c:v>1.7791853110460721E-4</c:v>
                </c:pt>
                <c:pt idx="3">
                  <c:v>3.5583706220921441E-4</c:v>
                </c:pt>
                <c:pt idx="4">
                  <c:v>1.7791853110460721E-4</c:v>
                </c:pt>
                <c:pt idx="5">
                  <c:v>8.8959265552303603E-5</c:v>
                </c:pt>
                <c:pt idx="6">
                  <c:v>8.8959265552303603E-5</c:v>
                </c:pt>
                <c:pt idx="7">
                  <c:v>8.8959265552303603E-5</c:v>
                </c:pt>
                <c:pt idx="8">
                  <c:v>8.8959265552303603E-5</c:v>
                </c:pt>
                <c:pt idx="9">
                  <c:v>8.8959265552303603E-5</c:v>
                </c:pt>
                <c:pt idx="10">
                  <c:v>8.8959265552303603E-5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506688"/>
        <c:axId val="149528960"/>
      </c:barChart>
      <c:catAx>
        <c:axId val="149506688"/>
        <c:scaling>
          <c:orientation val="minMax"/>
        </c:scaling>
        <c:delete val="0"/>
        <c:axPos val="b"/>
        <c:majorTickMark val="out"/>
        <c:minorTickMark val="none"/>
        <c:tickLblPos val="nextTo"/>
        <c:crossAx val="149528960"/>
        <c:crosses val="autoZero"/>
        <c:auto val="1"/>
        <c:lblAlgn val="ctr"/>
        <c:lblOffset val="100"/>
        <c:noMultiLvlLbl val="0"/>
      </c:catAx>
      <c:valAx>
        <c:axId val="1495289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Cd (uM)</a:t>
                </a:r>
              </a:p>
            </c:rich>
          </c:tx>
          <c:overlay val="0"/>
        </c:title>
        <c:numFmt formatCode="0.0000" sourceLinked="0"/>
        <c:majorTickMark val="out"/>
        <c:minorTickMark val="none"/>
        <c:tickLblPos val="nextTo"/>
        <c:crossAx val="149506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'PO4'!$C$17</c:f>
              <c:strCache>
                <c:ptCount val="1"/>
                <c:pt idx="0">
                  <c:v>Conc. PO4--- (µg P/L)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'PO4'!$C$18:$C$25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8</c:v>
                </c:pt>
                <c:pt idx="4">
                  <c:v>10</c:v>
                </c:pt>
                <c:pt idx="5">
                  <c:v>15</c:v>
                </c:pt>
                <c:pt idx="6">
                  <c:v>30</c:v>
                </c:pt>
                <c:pt idx="7">
                  <c:v>40</c:v>
                </c:pt>
              </c:numCache>
            </c:numRef>
          </c:xVal>
          <c:yVal>
            <c:numRef>
              <c:f>'PO4'!$B$18:$B$25</c:f>
              <c:numCache>
                <c:formatCode>General</c:formatCode>
                <c:ptCount val="8"/>
                <c:pt idx="0">
                  <c:v>0</c:v>
                </c:pt>
                <c:pt idx="1">
                  <c:v>6.0000000000000001E-3</c:v>
                </c:pt>
                <c:pt idx="2">
                  <c:v>1.7000000000000001E-2</c:v>
                </c:pt>
                <c:pt idx="3">
                  <c:v>2.8000000000000001E-2</c:v>
                </c:pt>
                <c:pt idx="4">
                  <c:v>3.4000000000000002E-2</c:v>
                </c:pt>
                <c:pt idx="5">
                  <c:v>0.05</c:v>
                </c:pt>
                <c:pt idx="6">
                  <c:v>0.121</c:v>
                </c:pt>
                <c:pt idx="7">
                  <c:v>0.14899999999999999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160448"/>
        <c:axId val="147178624"/>
      </c:scatterChart>
      <c:valAx>
        <c:axId val="1471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178624"/>
        <c:crosses val="autoZero"/>
        <c:crossBetween val="midCat"/>
      </c:valAx>
      <c:valAx>
        <c:axId val="147178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1604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'All data'!$K$2</c:f>
              <c:strCache>
                <c:ptCount val="1"/>
                <c:pt idx="0">
                  <c:v>Alkalinity</c:v>
                </c:pt>
              </c:strCache>
            </c:strRef>
          </c:tx>
          <c:spPr>
            <a:ln w="28575">
              <a:noFill/>
            </a:ln>
          </c:spPr>
          <c:xVal>
            <c:numRef>
              <c:f>'All data'!$J$4:$J$14</c:f>
              <c:numCache>
                <c:formatCode>0.00</c:formatCode>
                <c:ptCount val="11"/>
                <c:pt idx="0">
                  <c:v>6.83</c:v>
                </c:pt>
                <c:pt idx="1">
                  <c:v>6.6</c:v>
                </c:pt>
                <c:pt idx="2">
                  <c:v>6.68</c:v>
                </c:pt>
                <c:pt idx="3">
                  <c:v>7.53</c:v>
                </c:pt>
                <c:pt idx="4">
                  <c:v>7.38</c:v>
                </c:pt>
                <c:pt idx="5">
                  <c:v>7.45</c:v>
                </c:pt>
                <c:pt idx="6">
                  <c:v>7.4</c:v>
                </c:pt>
                <c:pt idx="7">
                  <c:v>6.25</c:v>
                </c:pt>
                <c:pt idx="8">
                  <c:v>7.28</c:v>
                </c:pt>
                <c:pt idx="9">
                  <c:v>7.23</c:v>
                </c:pt>
                <c:pt idx="10">
                  <c:v>7.8</c:v>
                </c:pt>
              </c:numCache>
            </c:numRef>
          </c:xVal>
          <c:yVal>
            <c:numRef>
              <c:f>'All data'!$K$4:$K$14</c:f>
              <c:numCache>
                <c:formatCode>0</c:formatCode>
                <c:ptCount val="11"/>
                <c:pt idx="0">
                  <c:v>241.77287581699343</c:v>
                </c:pt>
                <c:pt idx="1">
                  <c:v>346.51930261519306</c:v>
                </c:pt>
                <c:pt idx="2">
                  <c:v>111.6865552903739</c:v>
                </c:pt>
                <c:pt idx="3">
                  <c:v>142.38948626045399</c:v>
                </c:pt>
                <c:pt idx="4">
                  <c:v>916.61165241598724</c:v>
                </c:pt>
                <c:pt idx="5">
                  <c:v>742.28915662650593</c:v>
                </c:pt>
                <c:pt idx="6">
                  <c:v>1074.1940625622635</c:v>
                </c:pt>
                <c:pt idx="7">
                  <c:v>221.78162075206114</c:v>
                </c:pt>
                <c:pt idx="8">
                  <c:v>1377.0163542082171</c:v>
                </c:pt>
                <c:pt idx="9">
                  <c:v>228.3687661434532</c:v>
                </c:pt>
                <c:pt idx="10">
                  <c:v>1532.5389221556889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'All data'!$BL$2</c:f>
              <c:strCache>
                <c:ptCount val="1"/>
                <c:pt idx="0">
                  <c:v>eq DIC</c:v>
                </c:pt>
              </c:strCache>
            </c:strRef>
          </c:tx>
          <c:spPr>
            <a:ln w="28575">
              <a:noFill/>
            </a:ln>
          </c:spPr>
          <c:xVal>
            <c:numRef>
              <c:f>'All data'!$J$4:$J$14</c:f>
              <c:numCache>
                <c:formatCode>0.00</c:formatCode>
                <c:ptCount val="11"/>
                <c:pt idx="0">
                  <c:v>6.83</c:v>
                </c:pt>
                <c:pt idx="1">
                  <c:v>6.6</c:v>
                </c:pt>
                <c:pt idx="2">
                  <c:v>6.68</c:v>
                </c:pt>
                <c:pt idx="3">
                  <c:v>7.53</c:v>
                </c:pt>
                <c:pt idx="4">
                  <c:v>7.38</c:v>
                </c:pt>
                <c:pt idx="5">
                  <c:v>7.45</c:v>
                </c:pt>
                <c:pt idx="6">
                  <c:v>7.4</c:v>
                </c:pt>
                <c:pt idx="7">
                  <c:v>6.25</c:v>
                </c:pt>
                <c:pt idx="8">
                  <c:v>7.28</c:v>
                </c:pt>
                <c:pt idx="9">
                  <c:v>7.23</c:v>
                </c:pt>
                <c:pt idx="10">
                  <c:v>7.8</c:v>
                </c:pt>
              </c:numCache>
            </c:numRef>
          </c:xVal>
          <c:yVal>
            <c:numRef>
              <c:f>'All data'!$BL$4:$BL$14</c:f>
              <c:numCache>
                <c:formatCode>0</c:formatCode>
                <c:ptCount val="11"/>
                <c:pt idx="0" formatCode="0.0">
                  <c:v>40.738027784993079</c:v>
                </c:pt>
                <c:pt idx="1">
                  <c:v>23.988329192892834</c:v>
                </c:pt>
                <c:pt idx="2">
                  <c:v>28.840315034509665</c:v>
                </c:pt>
                <c:pt idx="3">
                  <c:v>204.17379448991636</c:v>
                </c:pt>
                <c:pt idx="4">
                  <c:v>144.54397709084935</c:v>
                </c:pt>
                <c:pt idx="5">
                  <c:v>169.82436526527474</c:v>
                </c:pt>
                <c:pt idx="6">
                  <c:v>151.35612486064406</c:v>
                </c:pt>
                <c:pt idx="7">
                  <c:v>10.715193053581183</c:v>
                </c:pt>
                <c:pt idx="8">
                  <c:v>114.81536216260146</c:v>
                </c:pt>
                <c:pt idx="9">
                  <c:v>102.32929923958436</c:v>
                </c:pt>
                <c:pt idx="10">
                  <c:v>380.18939636332027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600704"/>
        <c:axId val="146626432"/>
      </c:scatterChart>
      <c:valAx>
        <c:axId val="146600704"/>
        <c:scaling>
          <c:orientation val="minMax"/>
          <c:min val="6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46626432"/>
        <c:crosses val="autoZero"/>
        <c:crossBetween val="midCat"/>
      </c:valAx>
      <c:valAx>
        <c:axId val="1466264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Alkalinity (ueq/L)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46600704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28888888888888886"/>
          <c:y val="0.11998651210265383"/>
          <c:w val="0.15085158363296947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'All data'!$L$4:$L$14</c:f>
              <c:numCache>
                <c:formatCode>0.0</c:formatCode>
                <c:ptCount val="11"/>
                <c:pt idx="0">
                  <c:v>35.5</c:v>
                </c:pt>
                <c:pt idx="1">
                  <c:v>64</c:v>
                </c:pt>
                <c:pt idx="2">
                  <c:v>19.899999999999999</c:v>
                </c:pt>
                <c:pt idx="3">
                  <c:v>91.9</c:v>
                </c:pt>
                <c:pt idx="4" formatCode="0">
                  <c:v>219</c:v>
                </c:pt>
                <c:pt idx="5" formatCode="0">
                  <c:v>198.8</c:v>
                </c:pt>
                <c:pt idx="6" formatCode="0">
                  <c:v>252</c:v>
                </c:pt>
                <c:pt idx="7">
                  <c:v>58.1</c:v>
                </c:pt>
                <c:pt idx="8" formatCode="0">
                  <c:v>224</c:v>
                </c:pt>
                <c:pt idx="9">
                  <c:v>45.9</c:v>
                </c:pt>
                <c:pt idx="10" formatCode="0">
                  <c:v>213</c:v>
                </c:pt>
              </c:numCache>
            </c:numRef>
          </c:xVal>
          <c:yVal>
            <c:numRef>
              <c:f>'All data'!$CD$4:$CD$14</c:f>
              <c:numCache>
                <c:formatCode>0.0E+00</c:formatCode>
                <c:ptCount val="11"/>
                <c:pt idx="0">
                  <c:v>2.9664563011224228E-4</c:v>
                </c:pt>
                <c:pt idx="1">
                  <c:v>4.2938381180957083E-4</c:v>
                </c:pt>
                <c:pt idx="2">
                  <c:v>1.5463962781854472E-4</c:v>
                </c:pt>
                <c:pt idx="3">
                  <c:v>9.0704467711965546E-4</c:v>
                </c:pt>
                <c:pt idx="4">
                  <c:v>2.0658696192153219E-3</c:v>
                </c:pt>
                <c:pt idx="5">
                  <c:v>1.8576626859150363E-3</c:v>
                </c:pt>
                <c:pt idx="6">
                  <c:v>2.3223745857654725E-3</c:v>
                </c:pt>
                <c:pt idx="7">
                  <c:v>5.3547237474899925E-4</c:v>
                </c:pt>
                <c:pt idx="8">
                  <c:v>2.113825451032321E-3</c:v>
                </c:pt>
                <c:pt idx="9">
                  <c:v>4.2322536941348244E-4</c:v>
                </c:pt>
                <c:pt idx="10">
                  <c:v>1.6260089803402005E-3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531648"/>
        <c:axId val="147533824"/>
      </c:scatterChart>
      <c:valAx>
        <c:axId val="147531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Conductivity (µS/cm)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47533824"/>
        <c:crosses val="autoZero"/>
        <c:crossBetween val="midCat"/>
      </c:valAx>
      <c:valAx>
        <c:axId val="1475338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Ionic strength (µeq/L)</a:t>
                </a:r>
              </a:p>
            </c:rich>
          </c:tx>
          <c:layout/>
          <c:overlay val="0"/>
        </c:title>
        <c:numFmt formatCode="0.0E+00" sourceLinked="1"/>
        <c:majorTickMark val="out"/>
        <c:minorTickMark val="none"/>
        <c:tickLblPos val="nextTo"/>
        <c:crossAx val="1475316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'All data'!$N$4:$N$14</c:f>
              <c:numCache>
                <c:formatCode>0.000</c:formatCode>
                <c:ptCount val="11"/>
                <c:pt idx="0">
                  <c:v>0.29099999999999998</c:v>
                </c:pt>
                <c:pt idx="1">
                  <c:v>0.27500000000000002</c:v>
                </c:pt>
                <c:pt idx="2">
                  <c:v>0.16300000000000001</c:v>
                </c:pt>
                <c:pt idx="3">
                  <c:v>0.23100000000000001</c:v>
                </c:pt>
                <c:pt idx="4">
                  <c:v>0.22800000000000001</c:v>
                </c:pt>
                <c:pt idx="5">
                  <c:v>0.38</c:v>
                </c:pt>
                <c:pt idx="6">
                  <c:v>0.13700000000000001</c:v>
                </c:pt>
                <c:pt idx="7">
                  <c:v>0.33700000000000002</c:v>
                </c:pt>
                <c:pt idx="8">
                  <c:v>0.20899999999999999</c:v>
                </c:pt>
                <c:pt idx="9">
                  <c:v>2.8000000000000001E-2</c:v>
                </c:pt>
                <c:pt idx="10">
                  <c:v>0.16200000000000001</c:v>
                </c:pt>
              </c:numCache>
            </c:numRef>
          </c:xVal>
          <c:yVal>
            <c:numRef>
              <c:f>'All data'!$O$4:$O$14</c:f>
              <c:numCache>
                <c:formatCode>0.000</c:formatCode>
                <c:ptCount val="11"/>
                <c:pt idx="0">
                  <c:v>3.6999999999999998E-2</c:v>
                </c:pt>
                <c:pt idx="1">
                  <c:v>3.5000000000000003E-2</c:v>
                </c:pt>
                <c:pt idx="2">
                  <c:v>1.7999999999999999E-2</c:v>
                </c:pt>
                <c:pt idx="3">
                  <c:v>0.06</c:v>
                </c:pt>
                <c:pt idx="4">
                  <c:v>0.28000000000000003</c:v>
                </c:pt>
                <c:pt idx="5">
                  <c:v>2.3E-2</c:v>
                </c:pt>
                <c:pt idx="6">
                  <c:v>0</c:v>
                </c:pt>
                <c:pt idx="7">
                  <c:v>4.3999999999999997E-2</c:v>
                </c:pt>
                <c:pt idx="8">
                  <c:v>3.2000000000000001E-2</c:v>
                </c:pt>
                <c:pt idx="9">
                  <c:v>3.0000000000000001E-3</c:v>
                </c:pt>
                <c:pt idx="10">
                  <c:v>1.0999999999999999E-2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541376"/>
        <c:axId val="147551744"/>
      </c:scatterChart>
      <c:valAx>
        <c:axId val="147541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Abs. @ </a:t>
                </a:r>
                <a:r>
                  <a:rPr lang="el-GR"/>
                  <a:t>λ254</a:t>
                </a: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147551744"/>
        <c:crosses val="autoZero"/>
        <c:crossBetween val="midCat"/>
      </c:valAx>
      <c:valAx>
        <c:axId val="1475517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Abs. @ </a:t>
                </a:r>
                <a:r>
                  <a:rPr lang="el-GR"/>
                  <a:t>λ400</a:t>
                </a: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1475413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'All data'!$N$4:$N$14</c:f>
              <c:numCache>
                <c:formatCode>0.000</c:formatCode>
                <c:ptCount val="11"/>
                <c:pt idx="0">
                  <c:v>0.29099999999999998</c:v>
                </c:pt>
                <c:pt idx="1">
                  <c:v>0.27500000000000002</c:v>
                </c:pt>
                <c:pt idx="2">
                  <c:v>0.16300000000000001</c:v>
                </c:pt>
                <c:pt idx="3">
                  <c:v>0.23100000000000001</c:v>
                </c:pt>
                <c:pt idx="4">
                  <c:v>0.22800000000000001</c:v>
                </c:pt>
                <c:pt idx="5">
                  <c:v>0.38</c:v>
                </c:pt>
                <c:pt idx="6">
                  <c:v>0.13700000000000001</c:v>
                </c:pt>
                <c:pt idx="7">
                  <c:v>0.33700000000000002</c:v>
                </c:pt>
                <c:pt idx="8">
                  <c:v>0.20899999999999999</c:v>
                </c:pt>
                <c:pt idx="9">
                  <c:v>2.8000000000000001E-2</c:v>
                </c:pt>
                <c:pt idx="10">
                  <c:v>0.16200000000000001</c:v>
                </c:pt>
              </c:numCache>
            </c:numRef>
          </c:xVal>
          <c:yVal>
            <c:numRef>
              <c:f>'All data'!$O$4:$O$14</c:f>
              <c:numCache>
                <c:formatCode>0.000</c:formatCode>
                <c:ptCount val="11"/>
                <c:pt idx="0">
                  <c:v>3.6999999999999998E-2</c:v>
                </c:pt>
                <c:pt idx="1">
                  <c:v>3.5000000000000003E-2</c:v>
                </c:pt>
                <c:pt idx="2">
                  <c:v>1.7999999999999999E-2</c:v>
                </c:pt>
                <c:pt idx="3">
                  <c:v>0.06</c:v>
                </c:pt>
                <c:pt idx="4">
                  <c:v>0.28000000000000003</c:v>
                </c:pt>
                <c:pt idx="5">
                  <c:v>2.3E-2</c:v>
                </c:pt>
                <c:pt idx="6">
                  <c:v>0</c:v>
                </c:pt>
                <c:pt idx="7">
                  <c:v>4.3999999999999997E-2</c:v>
                </c:pt>
                <c:pt idx="8">
                  <c:v>3.2000000000000001E-2</c:v>
                </c:pt>
                <c:pt idx="9">
                  <c:v>3.0000000000000001E-3</c:v>
                </c:pt>
                <c:pt idx="10">
                  <c:v>1.0999999999999999E-2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580416"/>
        <c:axId val="147582336"/>
      </c:scatterChart>
      <c:valAx>
        <c:axId val="147580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Abs. @ </a:t>
                </a:r>
                <a:r>
                  <a:rPr lang="el-GR"/>
                  <a:t>λ254</a:t>
                </a: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147582336"/>
        <c:crosses val="autoZero"/>
        <c:crossBetween val="midCat"/>
      </c:valAx>
      <c:valAx>
        <c:axId val="147582336"/>
        <c:scaling>
          <c:orientation val="minMax"/>
          <c:max val="7.0000000000000007E-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Abs. @ </a:t>
                </a:r>
                <a:r>
                  <a:rPr lang="el-GR"/>
                  <a:t>λ400</a:t>
                </a: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1475804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sUVa</a:t>
            </a:r>
          </a:p>
        </c:rich>
      </c:tx>
      <c:layout>
        <c:manualLayout>
          <c:xMode val="edge"/>
          <c:yMode val="edge"/>
          <c:x val="0.52575419933251821"/>
          <c:y val="1.3888888888888888E-2"/>
        </c:manualLayout>
      </c:layout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168853893263342"/>
                  <c:y val="-7.3146325459317582E-2"/>
                </c:manualLayout>
              </c:layout>
              <c:numFmt formatCode="General" sourceLinked="0"/>
            </c:trendlineLbl>
          </c:trendline>
          <c:xVal>
            <c:numRef>
              <c:f>'All data'!$N$4:$N$14</c:f>
              <c:numCache>
                <c:formatCode>0.000</c:formatCode>
                <c:ptCount val="11"/>
                <c:pt idx="0">
                  <c:v>0.29099999999999998</c:v>
                </c:pt>
                <c:pt idx="1">
                  <c:v>0.27500000000000002</c:v>
                </c:pt>
                <c:pt idx="2">
                  <c:v>0.16300000000000001</c:v>
                </c:pt>
                <c:pt idx="3">
                  <c:v>0.23100000000000001</c:v>
                </c:pt>
                <c:pt idx="4">
                  <c:v>0.22800000000000001</c:v>
                </c:pt>
                <c:pt idx="5">
                  <c:v>0.38</c:v>
                </c:pt>
                <c:pt idx="6">
                  <c:v>0.13700000000000001</c:v>
                </c:pt>
                <c:pt idx="7">
                  <c:v>0.33700000000000002</c:v>
                </c:pt>
                <c:pt idx="8">
                  <c:v>0.20899999999999999</c:v>
                </c:pt>
                <c:pt idx="9">
                  <c:v>2.8000000000000001E-2</c:v>
                </c:pt>
                <c:pt idx="10">
                  <c:v>0.16200000000000001</c:v>
                </c:pt>
              </c:numCache>
            </c:numRef>
          </c:xVal>
          <c:yVal>
            <c:numRef>
              <c:f>'All data'!$P$4:$P$14</c:f>
              <c:numCache>
                <c:formatCode>0.00</c:formatCode>
                <c:ptCount val="11"/>
                <c:pt idx="0">
                  <c:v>6.6559999999999997</c:v>
                </c:pt>
                <c:pt idx="1">
                  <c:v>6.5380000000000003</c:v>
                </c:pt>
                <c:pt idx="2">
                  <c:v>4.4489999999999998</c:v>
                </c:pt>
                <c:pt idx="3">
                  <c:v>4.6470000000000002</c:v>
                </c:pt>
                <c:pt idx="4">
                  <c:v>6.9249999999999998</c:v>
                </c:pt>
                <c:pt idx="5">
                  <c:v>6.9669999999999996</c:v>
                </c:pt>
                <c:pt idx="6">
                  <c:v>5.3949999999999996</c:v>
                </c:pt>
                <c:pt idx="7">
                  <c:v>7.5890000000000004</c:v>
                </c:pt>
                <c:pt idx="8">
                  <c:v>5.282</c:v>
                </c:pt>
                <c:pt idx="9">
                  <c:v>1.9119999999999999</c:v>
                </c:pt>
                <c:pt idx="10">
                  <c:v>7.7190000000000003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140416"/>
        <c:axId val="148142336"/>
      </c:scatterChart>
      <c:valAx>
        <c:axId val="148140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 b="1" i="0" baseline="0">
                    <a:effectLst/>
                  </a:rPr>
                  <a:t>Abs. @ </a:t>
                </a:r>
                <a:r>
                  <a:rPr lang="el-GR" sz="1100" b="1" i="0" baseline="0">
                    <a:effectLst/>
                  </a:rPr>
                  <a:t>λ</a:t>
                </a:r>
                <a:r>
                  <a:rPr lang="nb-NO" sz="1100" b="1" i="0" baseline="0">
                    <a:effectLst/>
                  </a:rPr>
                  <a:t>254</a:t>
                </a:r>
                <a:r>
                  <a:rPr lang="en-US" sz="1100" b="1" i="0" baseline="0">
                    <a:effectLst/>
                  </a:rPr>
                  <a:t>nm</a:t>
                </a:r>
                <a:endParaRPr lang="en-GB" sz="600">
                  <a:effectLst/>
                </a:endParaRP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148142336"/>
        <c:crosses val="autoZero"/>
        <c:crossBetween val="midCat"/>
      </c:valAx>
      <c:valAx>
        <c:axId val="1481423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DOC (mg/L)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481404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8.2338801399825023E-2"/>
                  <c:y val="0.42545129775444734"/>
                </c:manualLayout>
              </c:layout>
              <c:numFmt formatCode="General" sourceLinked="0"/>
            </c:trendlineLbl>
          </c:trendline>
          <c:xVal>
            <c:numRef>
              <c:f>'All data'!$Q$4:$Q$14</c:f>
              <c:numCache>
                <c:formatCode>0.00</c:formatCode>
                <c:ptCount val="11"/>
                <c:pt idx="0">
                  <c:v>6.0684677144444858</c:v>
                </c:pt>
                <c:pt idx="1">
                  <c:v>8.4512658170551767</c:v>
                </c:pt>
                <c:pt idx="2">
                  <c:v>2.5902686975781251</c:v>
                </c:pt>
                <c:pt idx="3">
                  <c:v>9.3007893408476328</c:v>
                </c:pt>
                <c:pt idx="4">
                  <c:v>25.035275101039684</c:v>
                </c:pt>
                <c:pt idx="5">
                  <c:v>23.281723673743723</c:v>
                </c:pt>
                <c:pt idx="6">
                  <c:v>28.177924713367048</c:v>
                </c:pt>
                <c:pt idx="7">
                  <c:v>5.448273939247569</c:v>
                </c:pt>
                <c:pt idx="8">
                  <c:v>33.155149988124009</c:v>
                </c:pt>
                <c:pt idx="9">
                  <c:v>7.6698182323586517</c:v>
                </c:pt>
                <c:pt idx="10">
                  <c:v>31.452238707786567</c:v>
                </c:pt>
              </c:numCache>
            </c:numRef>
          </c:xVal>
          <c:yVal>
            <c:numRef>
              <c:f>'All data'!$R$4:$R$14</c:f>
              <c:numCache>
                <c:formatCode>0.00</c:formatCode>
                <c:ptCount val="11"/>
                <c:pt idx="0">
                  <c:v>0.54896043614077494</c:v>
                </c:pt>
                <c:pt idx="1">
                  <c:v>0.89743638548216575</c:v>
                </c:pt>
                <c:pt idx="2">
                  <c:v>0.18869372880455609</c:v>
                </c:pt>
                <c:pt idx="3">
                  <c:v>1.8350339762777772</c:v>
                </c:pt>
                <c:pt idx="4">
                  <c:v>5.512700144520859</c:v>
                </c:pt>
                <c:pt idx="5">
                  <c:v>3.573648037549602</c:v>
                </c:pt>
                <c:pt idx="6">
                  <c:v>3.7610949525191009</c:v>
                </c:pt>
                <c:pt idx="7">
                  <c:v>0.78639222705961187</c:v>
                </c:pt>
                <c:pt idx="8">
                  <c:v>5.6764929403110793</c:v>
                </c:pt>
                <c:pt idx="9">
                  <c:v>1.1573751651842334</c:v>
                </c:pt>
                <c:pt idx="10">
                  <c:v>4.730521781645578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159872"/>
        <c:axId val="148170240"/>
      </c:scatterChart>
      <c:valAx>
        <c:axId val="148159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 (ueq/L)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148170240"/>
        <c:crosses val="autoZero"/>
        <c:crossBetween val="midCat"/>
      </c:valAx>
      <c:valAx>
        <c:axId val="1481702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Mg (ueq/L)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481598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8.2338801399825023E-2"/>
                  <c:y val="0.42545129775444734"/>
                </c:manualLayout>
              </c:layout>
              <c:numFmt formatCode="General" sourceLinked="0"/>
            </c:trendlineLbl>
          </c:trendline>
          <c:xVal>
            <c:numRef>
              <c:f>'All data'!$S$4:$S$14</c:f>
              <c:numCache>
                <c:formatCode>0.00</c:formatCode>
                <c:ptCount val="11"/>
                <c:pt idx="0">
                  <c:v>1.6428362443451692</c:v>
                </c:pt>
                <c:pt idx="1">
                  <c:v>2.6917224357684515</c:v>
                </c:pt>
                <c:pt idx="2">
                  <c:v>1.0203037935276513</c:v>
                </c:pt>
                <c:pt idx="3">
                  <c:v>12.312395482003362</c:v>
                </c:pt>
                <c:pt idx="4">
                  <c:v>21.030284120974741</c:v>
                </c:pt>
                <c:pt idx="5">
                  <c:v>19.613084174847604</c:v>
                </c:pt>
                <c:pt idx="6">
                  <c:v>27.074719368361912</c:v>
                </c:pt>
                <c:pt idx="7">
                  <c:v>7.6582421359832109</c:v>
                </c:pt>
                <c:pt idx="8">
                  <c:v>19.894904399988331</c:v>
                </c:pt>
                <c:pt idx="9">
                  <c:v>1.9272171947874293</c:v>
                </c:pt>
                <c:pt idx="10">
                  <c:v>15.826347265975727</c:v>
                </c:pt>
              </c:numCache>
            </c:numRef>
          </c:xVal>
          <c:yVal>
            <c:numRef>
              <c:f>'All data'!$T$4:$T$14</c:f>
              <c:numCache>
                <c:formatCode>0.00</c:formatCode>
                <c:ptCount val="11"/>
                <c:pt idx="0">
                  <c:v>0.47437609140344811</c:v>
                </c:pt>
                <c:pt idx="1">
                  <c:v>0.60769756858625779</c:v>
                </c:pt>
                <c:pt idx="2">
                  <c:v>0.32467631637472705</c:v>
                </c:pt>
                <c:pt idx="3">
                  <c:v>1.2256838518982534</c:v>
                </c:pt>
                <c:pt idx="4">
                  <c:v>4.8838486549843863</c:v>
                </c:pt>
                <c:pt idx="5">
                  <c:v>3.0335469301519034</c:v>
                </c:pt>
                <c:pt idx="6">
                  <c:v>3.9643325280655914</c:v>
                </c:pt>
                <c:pt idx="7">
                  <c:v>0.79467869249980483</c:v>
                </c:pt>
                <c:pt idx="8">
                  <c:v>3.6662853145275367</c:v>
                </c:pt>
                <c:pt idx="9">
                  <c:v>0.55636694586113178</c:v>
                </c:pt>
                <c:pt idx="10">
                  <c:v>2.4746781104911828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216064"/>
        <c:axId val="148222336"/>
      </c:scatterChart>
      <c:valAx>
        <c:axId val="148216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Na (ueq/L)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148222336"/>
        <c:crosses val="autoZero"/>
        <c:crossBetween val="midCat"/>
      </c:valAx>
      <c:valAx>
        <c:axId val="1482223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 (ueq/L)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482160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67</xdr:col>
      <xdr:colOff>147636</xdr:colOff>
      <xdr:row>54</xdr:row>
      <xdr:rowOff>147637</xdr:rowOff>
    </xdr:from>
    <xdr:to>
      <xdr:col>74</xdr:col>
      <xdr:colOff>161924</xdr:colOff>
      <xdr:row>83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67</xdr:col>
      <xdr:colOff>157368</xdr:colOff>
      <xdr:row>83</xdr:row>
      <xdr:rowOff>157369</xdr:rowOff>
    </xdr:from>
    <xdr:to>
      <xdr:col>75</xdr:col>
      <xdr:colOff>33129</xdr:colOff>
      <xdr:row>112</xdr:row>
      <xdr:rowOff>38307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223630</xdr:colOff>
      <xdr:row>17</xdr:row>
      <xdr:rowOff>19878</xdr:rowOff>
    </xdr:from>
    <xdr:to>
      <xdr:col>10</xdr:col>
      <xdr:colOff>575642</xdr:colOff>
      <xdr:row>31</xdr:row>
      <xdr:rowOff>96078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9</xdr:col>
      <xdr:colOff>132513</xdr:colOff>
      <xdr:row>27</xdr:row>
      <xdr:rowOff>33125</xdr:rowOff>
    </xdr:from>
    <xdr:ext cx="349648" cy="264560"/>
    <xdr:sp macro="" textlink="">
      <xdr:nvSpPr>
        <xdr:cNvPr id="5" name="TextBox 4"/>
        <xdr:cNvSpPr txBox="1"/>
      </xdr:nvSpPr>
      <xdr:spPr>
        <a:xfrm>
          <a:off x="10676274" y="5309147"/>
          <a:ext cx="3496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Elv</a:t>
          </a:r>
        </a:p>
      </xdr:txBody>
    </xdr:sp>
    <xdr:clientData/>
  </xdr:oneCellAnchor>
  <xdr:oneCellAnchor>
    <xdr:from>
      <xdr:col>8</xdr:col>
      <xdr:colOff>1325231</xdr:colOff>
      <xdr:row>18</xdr:row>
      <xdr:rowOff>74543</xdr:rowOff>
    </xdr:from>
    <xdr:ext cx="541495" cy="264560"/>
    <xdr:sp macro="" textlink="">
      <xdr:nvSpPr>
        <xdr:cNvPr id="6" name="TextBox 5"/>
        <xdr:cNvSpPr txBox="1"/>
      </xdr:nvSpPr>
      <xdr:spPr>
        <a:xfrm>
          <a:off x="10046818" y="3636065"/>
          <a:ext cx="54149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Eutrof</a:t>
          </a:r>
        </a:p>
      </xdr:txBody>
    </xdr:sp>
    <xdr:clientData/>
  </xdr:oneCellAnchor>
  <xdr:oneCellAnchor>
    <xdr:from>
      <xdr:col>9</xdr:col>
      <xdr:colOff>82804</xdr:colOff>
      <xdr:row>17</xdr:row>
      <xdr:rowOff>107667</xdr:rowOff>
    </xdr:from>
    <xdr:ext cx="931537" cy="264560"/>
    <xdr:sp macro="" textlink="">
      <xdr:nvSpPr>
        <xdr:cNvPr id="7" name="TextBox 6"/>
        <xdr:cNvSpPr txBox="1"/>
      </xdr:nvSpPr>
      <xdr:spPr>
        <a:xfrm>
          <a:off x="10626565" y="3478689"/>
          <a:ext cx="9315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Nesøytjernet</a:t>
          </a:r>
        </a:p>
      </xdr:txBody>
    </xdr:sp>
    <xdr:clientData/>
  </xdr:oneCellAnchor>
  <xdr:oneCellAnchor>
    <xdr:from>
      <xdr:col>7</xdr:col>
      <xdr:colOff>1134708</xdr:colOff>
      <xdr:row>25</xdr:row>
      <xdr:rowOff>115960</xdr:rowOff>
    </xdr:from>
    <xdr:ext cx="604333" cy="264560"/>
    <xdr:sp macro="" textlink="">
      <xdr:nvSpPr>
        <xdr:cNvPr id="8" name="TextBox 7"/>
        <xdr:cNvSpPr txBox="1"/>
      </xdr:nvSpPr>
      <xdr:spPr>
        <a:xfrm>
          <a:off x="8034121" y="5010982"/>
          <a:ext cx="6043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Dystrof</a:t>
          </a:r>
        </a:p>
      </xdr:txBody>
    </xdr:sp>
    <xdr:clientData/>
  </xdr:oneCellAnchor>
  <xdr:twoCellAnchor>
    <xdr:from>
      <xdr:col>7</xdr:col>
      <xdr:colOff>265044</xdr:colOff>
      <xdr:row>32</xdr:row>
      <xdr:rowOff>16565</xdr:rowOff>
    </xdr:from>
    <xdr:to>
      <xdr:col>10</xdr:col>
      <xdr:colOff>604631</xdr:colOff>
      <xdr:row>46</xdr:row>
      <xdr:rowOff>92765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724728</xdr:colOff>
      <xdr:row>17</xdr:row>
      <xdr:rowOff>53007</xdr:rowOff>
    </xdr:from>
    <xdr:to>
      <xdr:col>15</xdr:col>
      <xdr:colOff>699880</xdr:colOff>
      <xdr:row>31</xdr:row>
      <xdr:rowOff>129207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695739</xdr:colOff>
      <xdr:row>32</xdr:row>
      <xdr:rowOff>57978</xdr:rowOff>
    </xdr:from>
    <xdr:to>
      <xdr:col>15</xdr:col>
      <xdr:colOff>670891</xdr:colOff>
      <xdr:row>46</xdr:row>
      <xdr:rowOff>134178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712304</xdr:colOff>
      <xdr:row>47</xdr:row>
      <xdr:rowOff>173935</xdr:rowOff>
    </xdr:from>
    <xdr:to>
      <xdr:col>15</xdr:col>
      <xdr:colOff>687456</xdr:colOff>
      <xdr:row>62</xdr:row>
      <xdr:rowOff>59635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161509</xdr:colOff>
      <xdr:row>17</xdr:row>
      <xdr:rowOff>69573</xdr:rowOff>
    </xdr:from>
    <xdr:to>
      <xdr:col>20</xdr:col>
      <xdr:colOff>153227</xdr:colOff>
      <xdr:row>31</xdr:row>
      <xdr:rowOff>145773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115957</xdr:colOff>
      <xdr:row>32</xdr:row>
      <xdr:rowOff>66261</xdr:rowOff>
    </xdr:from>
    <xdr:to>
      <xdr:col>20</xdr:col>
      <xdr:colOff>107675</xdr:colOff>
      <xdr:row>46</xdr:row>
      <xdr:rowOff>142461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273326</xdr:colOff>
      <xdr:row>17</xdr:row>
      <xdr:rowOff>91109</xdr:rowOff>
    </xdr:from>
    <xdr:to>
      <xdr:col>24</xdr:col>
      <xdr:colOff>472108</xdr:colOff>
      <xdr:row>31</xdr:row>
      <xdr:rowOff>167309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24</xdr:col>
      <xdr:colOff>699880</xdr:colOff>
      <xdr:row>15</xdr:row>
      <xdr:rowOff>57150</xdr:rowOff>
    </xdr:from>
    <xdr:to>
      <xdr:col>28</xdr:col>
      <xdr:colOff>898663</xdr:colOff>
      <xdr:row>31</xdr:row>
      <xdr:rowOff>170621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281609</xdr:colOff>
      <xdr:row>32</xdr:row>
      <xdr:rowOff>99391</xdr:rowOff>
    </xdr:from>
    <xdr:to>
      <xdr:col>24</xdr:col>
      <xdr:colOff>480391</xdr:colOff>
      <xdr:row>46</xdr:row>
      <xdr:rowOff>175591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oneCellAnchor>
    <xdr:from>
      <xdr:col>26</xdr:col>
      <xdr:colOff>281940</xdr:colOff>
      <xdr:row>18</xdr:row>
      <xdr:rowOff>55245</xdr:rowOff>
    </xdr:from>
    <xdr:ext cx="1393074" cy="436786"/>
    <xdr:sp macro="" textlink="">
      <xdr:nvSpPr>
        <xdr:cNvPr id="23" name="TextBox 22"/>
        <xdr:cNvSpPr txBox="1"/>
      </xdr:nvSpPr>
      <xdr:spPr>
        <a:xfrm>
          <a:off x="28009215" y="3627120"/>
          <a:ext cx="1393074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Akerselva is </a:t>
          </a:r>
          <a:br>
            <a:rPr lang="en-GB" sz="1100"/>
          </a:br>
          <a:r>
            <a:rPr lang="en-GB" sz="1100"/>
            <a:t>clearly</a:t>
          </a:r>
          <a:r>
            <a:rPr lang="en-GB" sz="1100" baseline="0"/>
            <a:t> contaminated</a:t>
          </a:r>
          <a:endParaRPr lang="en-GB" sz="1100"/>
        </a:p>
      </xdr:txBody>
    </xdr:sp>
    <xdr:clientData/>
  </xdr:oneCellAnchor>
  <xdr:twoCellAnchor>
    <xdr:from>
      <xdr:col>35</xdr:col>
      <xdr:colOff>790575</xdr:colOff>
      <xdr:row>30</xdr:row>
      <xdr:rowOff>104775</xdr:rowOff>
    </xdr:from>
    <xdr:to>
      <xdr:col>40</xdr:col>
      <xdr:colOff>9525</xdr:colOff>
      <xdr:row>44</xdr:row>
      <xdr:rowOff>180975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35</xdr:col>
      <xdr:colOff>809625</xdr:colOff>
      <xdr:row>45</xdr:row>
      <xdr:rowOff>161925</xdr:rowOff>
    </xdr:from>
    <xdr:to>
      <xdr:col>40</xdr:col>
      <xdr:colOff>28575</xdr:colOff>
      <xdr:row>60</xdr:row>
      <xdr:rowOff>47625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35</xdr:col>
      <xdr:colOff>809625</xdr:colOff>
      <xdr:row>61</xdr:row>
      <xdr:rowOff>9525</xdr:rowOff>
    </xdr:from>
    <xdr:to>
      <xdr:col>40</xdr:col>
      <xdr:colOff>28575</xdr:colOff>
      <xdr:row>75</xdr:row>
      <xdr:rowOff>85725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40</xdr:col>
      <xdr:colOff>85725</xdr:colOff>
      <xdr:row>30</xdr:row>
      <xdr:rowOff>114300</xdr:rowOff>
    </xdr:from>
    <xdr:to>
      <xdr:col>43</xdr:col>
      <xdr:colOff>1238250</xdr:colOff>
      <xdr:row>45</xdr:row>
      <xdr:rowOff>0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40</xdr:col>
      <xdr:colOff>76200</xdr:colOff>
      <xdr:row>46</xdr:row>
      <xdr:rowOff>9525</xdr:rowOff>
    </xdr:from>
    <xdr:to>
      <xdr:col>43</xdr:col>
      <xdr:colOff>1228725</xdr:colOff>
      <xdr:row>60</xdr:row>
      <xdr:rowOff>85725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40</xdr:col>
      <xdr:colOff>85725</xdr:colOff>
      <xdr:row>61</xdr:row>
      <xdr:rowOff>28575</xdr:rowOff>
    </xdr:from>
    <xdr:to>
      <xdr:col>43</xdr:col>
      <xdr:colOff>1238250</xdr:colOff>
      <xdr:row>75</xdr:row>
      <xdr:rowOff>104775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40</xdr:col>
      <xdr:colOff>85725</xdr:colOff>
      <xdr:row>76</xdr:row>
      <xdr:rowOff>28575</xdr:rowOff>
    </xdr:from>
    <xdr:to>
      <xdr:col>43</xdr:col>
      <xdr:colOff>1238250</xdr:colOff>
      <xdr:row>90</xdr:row>
      <xdr:rowOff>104775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40</xdr:col>
      <xdr:colOff>85725</xdr:colOff>
      <xdr:row>91</xdr:row>
      <xdr:rowOff>47625</xdr:rowOff>
    </xdr:from>
    <xdr:to>
      <xdr:col>43</xdr:col>
      <xdr:colOff>1238250</xdr:colOff>
      <xdr:row>105</xdr:row>
      <xdr:rowOff>123825</xdr:rowOff>
    </xdr:to>
    <xdr:graphicFrame macro="">
      <xdr:nvGraphicFramePr>
        <xdr:cNvPr id="3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40</xdr:col>
      <xdr:colOff>57150</xdr:colOff>
      <xdr:row>106</xdr:row>
      <xdr:rowOff>95250</xdr:rowOff>
    </xdr:from>
    <xdr:to>
      <xdr:col>43</xdr:col>
      <xdr:colOff>1209675</xdr:colOff>
      <xdr:row>120</xdr:row>
      <xdr:rowOff>171450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oneCellAnchor>
    <xdr:from>
      <xdr:col>37</xdr:col>
      <xdr:colOff>857250</xdr:colOff>
      <xdr:row>77</xdr:row>
      <xdr:rowOff>152400</xdr:rowOff>
    </xdr:from>
    <xdr:ext cx="2141292" cy="436786"/>
    <xdr:sp macro="" textlink="">
      <xdr:nvSpPr>
        <xdr:cNvPr id="33" name="TextBox 32"/>
        <xdr:cNvSpPr txBox="1"/>
      </xdr:nvSpPr>
      <xdr:spPr>
        <a:xfrm>
          <a:off x="36109275" y="14963775"/>
          <a:ext cx="2141292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The</a:t>
          </a:r>
          <a:r>
            <a:rPr lang="en-GB" sz="1100" baseline="0"/>
            <a:t> dissolved fraction constitutes </a:t>
          </a:r>
        </a:p>
        <a:p>
          <a:r>
            <a:rPr lang="en-GB" sz="1100" baseline="0"/>
            <a:t>typically less than 1/3 of the total </a:t>
          </a:r>
          <a:endParaRPr lang="en-GB" sz="1100"/>
        </a:p>
      </xdr:txBody>
    </xdr:sp>
    <xdr:clientData/>
  </xdr:oneCellAnchor>
  <xdr:twoCellAnchor>
    <xdr:from>
      <xdr:col>45</xdr:col>
      <xdr:colOff>219075</xdr:colOff>
      <xdr:row>30</xdr:row>
      <xdr:rowOff>142875</xdr:rowOff>
    </xdr:from>
    <xdr:to>
      <xdr:col>50</xdr:col>
      <xdr:colOff>152400</xdr:colOff>
      <xdr:row>45</xdr:row>
      <xdr:rowOff>28575</xdr:rowOff>
    </xdr:to>
    <xdr:graphicFrame macro="">
      <xdr:nvGraphicFramePr>
        <xdr:cNvPr id="34" name="Chart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47</xdr:col>
      <xdr:colOff>542925</xdr:colOff>
      <xdr:row>36</xdr:row>
      <xdr:rowOff>142876</xdr:rowOff>
    </xdr:from>
    <xdr:to>
      <xdr:col>49</xdr:col>
      <xdr:colOff>409575</xdr:colOff>
      <xdr:row>41</xdr:row>
      <xdr:rowOff>28576</xdr:rowOff>
    </xdr:to>
    <xdr:sp macro="" textlink="">
      <xdr:nvSpPr>
        <xdr:cNvPr id="35" name="TextBox 34"/>
        <xdr:cNvSpPr txBox="1"/>
      </xdr:nvSpPr>
      <xdr:spPr>
        <a:xfrm>
          <a:off x="48034575" y="7143751"/>
          <a:ext cx="1066800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Both are mobile anions .</a:t>
          </a:r>
        </a:p>
        <a:p>
          <a:r>
            <a:rPr lang="en-GB" sz="1100"/>
            <a:t>Indication</a:t>
          </a:r>
          <a:r>
            <a:rPr lang="en-GB" sz="1100" baseline="0"/>
            <a:t> of dilution</a:t>
          </a:r>
          <a:endParaRPr lang="en-GB" sz="1100"/>
        </a:p>
      </xdr:txBody>
    </xdr:sp>
    <xdr:clientData/>
  </xdr:twoCellAnchor>
  <xdr:twoCellAnchor>
    <xdr:from>
      <xdr:col>52</xdr:col>
      <xdr:colOff>19050</xdr:colOff>
      <xdr:row>15</xdr:row>
      <xdr:rowOff>28575</xdr:rowOff>
    </xdr:from>
    <xdr:to>
      <xdr:col>65</xdr:col>
      <xdr:colOff>619125</xdr:colOff>
      <xdr:row>29</xdr:row>
      <xdr:rowOff>104775</xdr:rowOff>
    </xdr:to>
    <xdr:graphicFrame macro="">
      <xdr:nvGraphicFramePr>
        <xdr:cNvPr id="36" name="Chart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80</xdr:col>
      <xdr:colOff>90487</xdr:colOff>
      <xdr:row>15</xdr:row>
      <xdr:rowOff>47625</xdr:rowOff>
    </xdr:from>
    <xdr:to>
      <xdr:col>107</xdr:col>
      <xdr:colOff>42862</xdr:colOff>
      <xdr:row>29</xdr:row>
      <xdr:rowOff>123825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80</xdr:col>
      <xdr:colOff>114300</xdr:colOff>
      <xdr:row>30</xdr:row>
      <xdr:rowOff>76200</xdr:rowOff>
    </xdr:from>
    <xdr:to>
      <xdr:col>107</xdr:col>
      <xdr:colOff>66675</xdr:colOff>
      <xdr:row>44</xdr:row>
      <xdr:rowOff>152400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oneCellAnchor>
    <xdr:from>
      <xdr:col>105</xdr:col>
      <xdr:colOff>857250</xdr:colOff>
      <xdr:row>24</xdr:row>
      <xdr:rowOff>0</xdr:rowOff>
    </xdr:from>
    <xdr:ext cx="738857" cy="264560"/>
    <xdr:sp macro="" textlink="">
      <xdr:nvSpPr>
        <xdr:cNvPr id="13" name="TextBox 12"/>
        <xdr:cNvSpPr txBox="1"/>
      </xdr:nvSpPr>
      <xdr:spPr>
        <a:xfrm>
          <a:off x="72504300" y="4714875"/>
          <a:ext cx="73885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Akerselva</a:t>
          </a:r>
        </a:p>
      </xdr:txBody>
    </xdr:sp>
    <xdr:clientData/>
  </xdr:oneCellAnchor>
  <xdr:oneCellAnchor>
    <xdr:from>
      <xdr:col>104</xdr:col>
      <xdr:colOff>323850</xdr:colOff>
      <xdr:row>30</xdr:row>
      <xdr:rowOff>114300</xdr:rowOff>
    </xdr:from>
    <xdr:ext cx="1123449" cy="264560"/>
    <xdr:sp macro="" textlink="">
      <xdr:nvSpPr>
        <xdr:cNvPr id="20" name="TextBox 19"/>
        <xdr:cNvSpPr txBox="1"/>
      </xdr:nvSpPr>
      <xdr:spPr>
        <a:xfrm>
          <a:off x="71104125" y="5972175"/>
          <a:ext cx="112344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Too high</a:t>
          </a:r>
          <a:r>
            <a:rPr lang="en-GB" sz="1100" baseline="0"/>
            <a:t> cations</a:t>
          </a:r>
          <a:endParaRPr lang="en-GB" sz="1100"/>
        </a:p>
      </xdr:txBody>
    </xdr:sp>
    <xdr:clientData/>
  </xdr:oneCellAnchor>
  <xdr:oneCellAnchor>
    <xdr:from>
      <xdr:col>105</xdr:col>
      <xdr:colOff>200025</xdr:colOff>
      <xdr:row>31</xdr:row>
      <xdr:rowOff>171450</xdr:rowOff>
    </xdr:from>
    <xdr:ext cx="1571625" cy="781240"/>
    <xdr:sp macro="" textlink="">
      <xdr:nvSpPr>
        <xdr:cNvPr id="21" name="TextBox 20"/>
        <xdr:cNvSpPr txBox="1"/>
      </xdr:nvSpPr>
      <xdr:spPr>
        <a:xfrm>
          <a:off x="71847075" y="6219825"/>
          <a:ext cx="1571625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/>
            <a:t>This may be due to dissolution</a:t>
          </a:r>
          <a:r>
            <a:rPr lang="en-GB" sz="1100" baseline="0"/>
            <a:t> of colloids </a:t>
          </a:r>
          <a:br>
            <a:rPr lang="en-GB" sz="1100" baseline="0"/>
          </a:br>
          <a:r>
            <a:rPr lang="en-GB" sz="1100" baseline="0"/>
            <a:t>by nitric acid before analysis on ICP</a:t>
          </a:r>
          <a:endParaRPr lang="en-GB" sz="1100"/>
        </a:p>
      </xdr:txBody>
    </xdr:sp>
    <xdr:clientData/>
  </xdr:oneCellAnchor>
  <xdr:twoCellAnchor>
    <xdr:from>
      <xdr:col>24</xdr:col>
      <xdr:colOff>700087</xdr:colOff>
      <xdr:row>32</xdr:row>
      <xdr:rowOff>85725</xdr:rowOff>
    </xdr:from>
    <xdr:to>
      <xdr:col>28</xdr:col>
      <xdr:colOff>890587</xdr:colOff>
      <xdr:row>46</xdr:row>
      <xdr:rowOff>161925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24</xdr:col>
      <xdr:colOff>657225</xdr:colOff>
      <xdr:row>47</xdr:row>
      <xdr:rowOff>85725</xdr:rowOff>
    </xdr:from>
    <xdr:to>
      <xdr:col>28</xdr:col>
      <xdr:colOff>847725</xdr:colOff>
      <xdr:row>61</xdr:row>
      <xdr:rowOff>161925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24</xdr:col>
      <xdr:colOff>723900</xdr:colOff>
      <xdr:row>62</xdr:row>
      <xdr:rowOff>142875</xdr:rowOff>
    </xdr:from>
    <xdr:to>
      <xdr:col>28</xdr:col>
      <xdr:colOff>914400</xdr:colOff>
      <xdr:row>77</xdr:row>
      <xdr:rowOff>28575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oneCellAnchor>
    <xdr:from>
      <xdr:col>25</xdr:col>
      <xdr:colOff>209550</xdr:colOff>
      <xdr:row>22</xdr:row>
      <xdr:rowOff>104775</xdr:rowOff>
    </xdr:from>
    <xdr:ext cx="782202" cy="264560"/>
    <xdr:sp macro="" textlink="">
      <xdr:nvSpPr>
        <xdr:cNvPr id="40" name="TextBox 39"/>
        <xdr:cNvSpPr txBox="1"/>
      </xdr:nvSpPr>
      <xdr:spPr>
        <a:xfrm>
          <a:off x="26841450" y="4438650"/>
          <a:ext cx="78220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Oslo feltet</a:t>
          </a:r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0.61354</cdr:x>
      <cdr:y>0.01042</cdr:y>
    </cdr:from>
    <cdr:to>
      <cdr:x>0.81354</cdr:x>
      <cdr:y>0.12153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05113" y="28575"/>
          <a:ext cx="9144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Nesøytjernet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0.77292</cdr:x>
      <cdr:y>0.84722</cdr:y>
    </cdr:from>
    <cdr:to>
      <cdr:x>0.97292</cdr:x>
      <cdr:y>0.97222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33775" y="2324100"/>
          <a:ext cx="91440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Anions missing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560295</xdr:colOff>
      <xdr:row>97</xdr:row>
      <xdr:rowOff>96273</xdr:rowOff>
    </xdr:from>
    <xdr:to>
      <xdr:col>24</xdr:col>
      <xdr:colOff>211862</xdr:colOff>
      <xdr:row>127</xdr:row>
      <xdr:rowOff>169267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64089" y="15862949"/>
          <a:ext cx="8728332" cy="5754377"/>
        </a:xfrm>
        <a:prstGeom prst="rect">
          <a:avLst/>
        </a:prstGeom>
      </xdr:spPr>
    </xdr:pic>
    <xdr:clientData/>
  </xdr:twoCellAnchor>
  <xdr:twoCellAnchor>
    <xdr:from>
      <xdr:col>15</xdr:col>
      <xdr:colOff>44824</xdr:colOff>
      <xdr:row>101</xdr:row>
      <xdr:rowOff>11206</xdr:rowOff>
    </xdr:from>
    <xdr:to>
      <xdr:col>15</xdr:col>
      <xdr:colOff>78441</xdr:colOff>
      <xdr:row>124</xdr:row>
      <xdr:rowOff>78441</xdr:rowOff>
    </xdr:to>
    <xdr:cxnSp macro="">
      <xdr:nvCxnSpPr>
        <xdr:cNvPr id="4" name="Straight Connector 3"/>
        <xdr:cNvCxnSpPr/>
      </xdr:nvCxnSpPr>
      <xdr:spPr bwMode="auto">
        <a:xfrm flipV="1">
          <a:off x="9379324" y="16506265"/>
          <a:ext cx="33617" cy="444873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11</xdr:col>
      <xdr:colOff>369795</xdr:colOff>
      <xdr:row>107</xdr:row>
      <xdr:rowOff>67235</xdr:rowOff>
    </xdr:from>
    <xdr:to>
      <xdr:col>23</xdr:col>
      <xdr:colOff>526677</xdr:colOff>
      <xdr:row>107</xdr:row>
      <xdr:rowOff>78441</xdr:rowOff>
    </xdr:to>
    <xdr:cxnSp macro="">
      <xdr:nvCxnSpPr>
        <xdr:cNvPr id="7" name="Straight Connector 6"/>
        <xdr:cNvCxnSpPr/>
      </xdr:nvCxnSpPr>
      <xdr:spPr bwMode="auto">
        <a:xfrm flipV="1">
          <a:off x="7283824" y="17705294"/>
          <a:ext cx="7418294" cy="1120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oneCellAnchor>
    <xdr:from>
      <xdr:col>18</xdr:col>
      <xdr:colOff>201706</xdr:colOff>
      <xdr:row>125</xdr:row>
      <xdr:rowOff>100853</xdr:rowOff>
    </xdr:from>
    <xdr:ext cx="695190" cy="342786"/>
    <xdr:sp macro="" textlink="">
      <xdr:nvSpPr>
        <xdr:cNvPr id="8" name="TextBox 7"/>
        <xdr:cNvSpPr txBox="1"/>
      </xdr:nvSpPr>
      <xdr:spPr>
        <a:xfrm>
          <a:off x="11351559" y="21167912"/>
          <a:ext cx="69519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600" b="1"/>
            <a:t>40.0%</a:t>
          </a:r>
        </a:p>
      </xdr:txBody>
    </xdr:sp>
    <xdr:clientData/>
  </xdr:oneCellAnchor>
  <xdr:oneCellAnchor>
    <xdr:from>
      <xdr:col>10</xdr:col>
      <xdr:colOff>91933</xdr:colOff>
      <xdr:row>107</xdr:row>
      <xdr:rowOff>21728</xdr:rowOff>
    </xdr:from>
    <xdr:ext cx="374141" cy="758990"/>
    <xdr:sp macro="" textlink="">
      <xdr:nvSpPr>
        <xdr:cNvPr id="9" name="TextBox 8"/>
        <xdr:cNvSpPr txBox="1"/>
      </xdr:nvSpPr>
      <xdr:spPr>
        <a:xfrm rot="16200000">
          <a:off x="6208421" y="17852211"/>
          <a:ext cx="758990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800" b="1"/>
            <a:t>28.7%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742950</xdr:colOff>
      <xdr:row>9</xdr:row>
      <xdr:rowOff>57150</xdr:rowOff>
    </xdr:from>
    <xdr:to>
      <xdr:col>12</xdr:col>
      <xdr:colOff>361950</xdr:colOff>
      <xdr:row>34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0.6404</cdr:x>
      <cdr:y>0.02597</cdr:y>
    </cdr:from>
    <cdr:to>
      <cdr:x>0.8404</cdr:x>
      <cdr:y>0.14674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27901" y="71232"/>
          <a:ext cx="914400" cy="331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Algae in Årungen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0.55072</cdr:x>
      <cdr:y>0.02717</cdr:y>
    </cdr:from>
    <cdr:to>
      <cdr:x>0.75072</cdr:x>
      <cdr:y>0.12983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7913" y="74545"/>
          <a:ext cx="914400" cy="2816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Sewage in Lysakerelva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0.21649</cdr:x>
      <cdr:y>0.04711</cdr:y>
    </cdr:from>
    <cdr:to>
      <cdr:x>0.41649</cdr:x>
      <cdr:y>0.25665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89770" y="129224"/>
          <a:ext cx="914400" cy="5748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Low aromaticity</a:t>
          </a:r>
          <a:r>
            <a:rPr lang="en-GB" sz="1100" baseline="0"/>
            <a:t> </a:t>
          </a:r>
        </a:p>
        <a:p xmlns:a="http://schemas.openxmlformats.org/drawingml/2006/main">
          <a:r>
            <a:rPr lang="en-GB" sz="1100" baseline="0"/>
            <a:t>in Nesøytjernet</a:t>
          </a:r>
          <a:endParaRPr lang="en-GB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0.20018</cdr:x>
      <cdr:y>0.09239</cdr:y>
    </cdr:from>
    <cdr:to>
      <cdr:x>0.40018</cdr:x>
      <cdr:y>0.42572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15230" y="25344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Correlated due to similar source </a:t>
          </a:r>
          <a:br>
            <a:rPr lang="en-GB" sz="1100"/>
          </a:br>
          <a:r>
            <a:rPr lang="en-GB" sz="1100"/>
            <a:t>- weathering of carbonate minerals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0.20018</cdr:x>
      <cdr:y>0.09239</cdr:y>
    </cdr:from>
    <cdr:to>
      <cdr:x>0.40018</cdr:x>
      <cdr:y>0.42572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15230" y="25344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Correlated due to similar source </a:t>
          </a:r>
          <a:br>
            <a:rPr lang="en-GB" sz="1100"/>
          </a:br>
          <a:r>
            <a:rPr lang="en-GB" sz="1100"/>
            <a:t>- weathering of feldspar minerals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0.78197</cdr:x>
      <cdr:y>0.08998</cdr:y>
    </cdr:from>
    <cdr:to>
      <cdr:x>0.98197</cdr:x>
      <cdr:y>0.25151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81641" y="246830"/>
          <a:ext cx="916057" cy="4431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Very high values </a:t>
          </a:r>
          <a:br>
            <a:rPr lang="en-GB" sz="1100"/>
          </a:br>
          <a:r>
            <a:rPr lang="en-GB" sz="1100"/>
            <a:t>in Akerelva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0.55125</cdr:x>
      <cdr:y>0.3409</cdr:y>
    </cdr:from>
    <cdr:to>
      <cdr:x>0.82197</cdr:x>
      <cdr:y>0.49712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4883" y="1077748"/>
          <a:ext cx="1239974" cy="4938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Lutvann</a:t>
          </a:r>
          <a:r>
            <a:rPr lang="en-GB" sz="1100" baseline="0"/>
            <a:t> and Nesøytjernet </a:t>
          </a:r>
          <a:br>
            <a:rPr lang="en-GB" sz="1100" baseline="0"/>
          </a:br>
          <a:r>
            <a:rPr lang="en-GB" sz="1100" baseline="0"/>
            <a:t>are both small catchments</a:t>
          </a:r>
        </a:p>
        <a:p xmlns:a="http://schemas.openxmlformats.org/drawingml/2006/main">
          <a:endParaRPr lang="en-GB" sz="11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0.47367</cdr:x>
      <cdr:y>0.02893</cdr:y>
    </cdr:from>
    <cdr:to>
      <cdr:x>0.67367</cdr:x>
      <cdr:y>0.22071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169524" y="79367"/>
          <a:ext cx="916057" cy="5260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Very high values </a:t>
          </a:r>
          <a:br>
            <a:rPr lang="en-GB" sz="1100"/>
          </a:br>
          <a:r>
            <a:rPr lang="en-GB" sz="1100"/>
            <a:t>in Akerelva</a:t>
          </a:r>
        </a:p>
      </cdr:txBody>
    </cdr:sp>
  </cdr:relSizeAnchor>
</c:userShapes>
</file>

<file path=xl/queryTables/queryTable1.xml><?xml version="1.0" encoding="utf-8"?>
<queryTable xmlns="http://schemas.openxmlformats.org/spreadsheetml/2006/main" name="131022_module 19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D64"/>
  <sheetViews>
    <sheetView tabSelected="1" showWhiteSpace="0" topLeftCell="B70" zoomScaleNormal="100" zoomScalePageLayoutView="125" workbookViewId="0">
      <pane xSplit="2" topLeftCell="BO1" activePane="topRight" state="frozenSplit"/>
      <selection activeCell="V9" sqref="V9"/>
      <selection pane="topRight" activeCell="BO83" sqref="BO83"/>
    </sheetView>
  </sheetViews>
  <sheetFormatPr defaultColWidth="8.85546875" defaultRowHeight="15" x14ac:dyDescent="0.25"/>
  <cols>
    <col min="1" max="1" width="9.140625" style="47" hidden="1" customWidth="1"/>
    <col min="2" max="2" width="9.28515625" style="30" customWidth="1"/>
    <col min="3" max="3" width="20.42578125" style="29" customWidth="1"/>
    <col min="4" max="4" width="21.7109375" style="29" customWidth="1"/>
    <col min="5" max="5" width="16.7109375" style="46" customWidth="1"/>
    <col min="6" max="6" width="8" style="34" customWidth="1"/>
    <col min="7" max="7" width="27.28515625" style="31" customWidth="1"/>
    <col min="8" max="9" width="27.28515625" style="5" customWidth="1"/>
    <col min="10" max="10" width="8.85546875" style="73" customWidth="1"/>
    <col min="11" max="11" width="15.140625" style="76" customWidth="1"/>
    <col min="12" max="12" width="12" style="80" customWidth="1"/>
    <col min="13" max="13" width="14.42578125" style="84" customWidth="1"/>
    <col min="14" max="14" width="11.42578125" style="68" customWidth="1"/>
    <col min="15" max="15" width="15.85546875" style="68" customWidth="1"/>
    <col min="16" max="16" width="13" style="156" customWidth="1"/>
    <col min="17" max="17" width="16.7109375" style="157" bestFit="1" customWidth="1"/>
    <col min="18" max="18" width="22.42578125" style="2" bestFit="1" customWidth="1"/>
    <col min="19" max="19" width="13" style="2" customWidth="1"/>
    <col min="20" max="20" width="16.42578125" style="156" bestFit="1" customWidth="1"/>
    <col min="21" max="21" width="16.42578125" style="157" customWidth="1"/>
    <col min="22" max="29" width="16.42578125" style="2" customWidth="1"/>
    <col min="30" max="31" width="16.42578125" style="2" hidden="1" customWidth="1"/>
    <col min="32" max="32" width="16.42578125" style="170" hidden="1" customWidth="1"/>
    <col min="33" max="33" width="20.140625" style="156" hidden="1" customWidth="1"/>
    <col min="34" max="34" width="15.7109375" style="157" bestFit="1" customWidth="1"/>
    <col min="35" max="35" width="16" style="2" bestFit="1" customWidth="1"/>
    <col min="36" max="36" width="16" style="2" customWidth="1"/>
    <col min="37" max="37" width="15.85546875" style="2" bestFit="1" customWidth="1"/>
    <col min="38" max="42" width="16.140625" style="2" bestFit="1" customWidth="1"/>
    <col min="43" max="44" width="19" style="2" bestFit="1" customWidth="1"/>
    <col min="45" max="45" width="22.28515625" style="2" customWidth="1"/>
    <col min="46" max="46" width="28.42578125" style="156" bestFit="1" customWidth="1"/>
    <col min="47" max="47" width="14.140625" style="157" customWidth="1"/>
    <col min="48" max="50" width="9" style="2" customWidth="1"/>
    <col min="51" max="51" width="9" style="156" customWidth="1"/>
    <col min="52" max="52" width="15.42578125" style="174" bestFit="1" customWidth="1"/>
    <col min="53" max="53" width="16.140625" style="33" bestFit="1" customWidth="1"/>
    <col min="54" max="54" width="16.140625" style="33" customWidth="1"/>
    <col min="55" max="55" width="0" style="1" hidden="1" customWidth="1"/>
    <col min="56" max="56" width="14.42578125" style="1" hidden="1" customWidth="1"/>
    <col min="57" max="63" width="8.85546875" style="1" hidden="1" customWidth="1"/>
    <col min="64" max="64" width="10" style="1" customWidth="1"/>
    <col min="65" max="66" width="17.28515625" style="1" bestFit="1" customWidth="1"/>
    <col min="67" max="67" width="8.85546875" style="1"/>
    <col min="68" max="68" width="20.140625" style="1" bestFit="1" customWidth="1"/>
    <col min="69" max="74" width="13" style="1" bestFit="1" customWidth="1"/>
    <col min="75" max="76" width="13" style="4" bestFit="1" customWidth="1"/>
    <col min="77" max="77" width="21.42578125" style="4" bestFit="1" customWidth="1"/>
    <col min="78" max="78" width="14.42578125" style="50" bestFit="1" customWidth="1"/>
    <col min="79" max="79" width="8.85546875" style="63"/>
    <col min="80" max="80" width="13" style="3" bestFit="1" customWidth="1"/>
    <col min="81" max="81" width="8.42578125" style="3" customWidth="1"/>
    <col min="82" max="82" width="8.85546875" style="179" customWidth="1"/>
    <col min="83" max="84" width="8.85546875" style="2" hidden="1" customWidth="1"/>
    <col min="85" max="85" width="8.85546875" style="3" hidden="1" customWidth="1"/>
    <col min="86" max="93" width="8.85546875" style="179" hidden="1" customWidth="1"/>
    <col min="94" max="94" width="8.85546875" style="3" hidden="1" customWidth="1"/>
    <col min="95" max="100" width="8.85546875" style="179" hidden="1" customWidth="1"/>
    <col min="101" max="102" width="9" style="179" hidden="1" customWidth="1"/>
    <col min="103" max="103" width="8.85546875" style="3" hidden="1" customWidth="1"/>
    <col min="104" max="104" width="13" style="183" bestFit="1" customWidth="1"/>
    <col min="105" max="106" width="13" style="184" bestFit="1" customWidth="1"/>
    <col min="107" max="107" width="13" bestFit="1" customWidth="1"/>
  </cols>
  <sheetData>
    <row r="1" spans="1:108" s="16" customFormat="1" ht="15.75" customHeight="1" x14ac:dyDescent="0.25">
      <c r="A1" s="38"/>
      <c r="B1" s="39"/>
      <c r="C1" s="38"/>
      <c r="D1" s="30" t="s">
        <v>71</v>
      </c>
      <c r="E1" s="40" t="s">
        <v>72</v>
      </c>
      <c r="F1" s="41"/>
      <c r="G1" s="42"/>
      <c r="H1" s="13"/>
      <c r="I1" s="13"/>
      <c r="J1" s="71"/>
      <c r="K1" s="74" t="s">
        <v>73</v>
      </c>
      <c r="L1" s="77"/>
      <c r="M1" s="81"/>
      <c r="N1" s="67" t="s">
        <v>31</v>
      </c>
      <c r="O1" s="147" t="s">
        <v>61</v>
      </c>
      <c r="P1" s="160" t="s">
        <v>28</v>
      </c>
      <c r="Q1" s="213" t="s">
        <v>258</v>
      </c>
      <c r="R1" s="213"/>
      <c r="S1" s="213"/>
      <c r="T1" s="213"/>
      <c r="U1" s="213" t="s">
        <v>437</v>
      </c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153"/>
      <c r="AH1" s="213" t="s">
        <v>260</v>
      </c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153"/>
      <c r="AU1" s="213" t="s">
        <v>20</v>
      </c>
      <c r="AV1" s="213"/>
      <c r="AW1" s="213"/>
      <c r="AX1" s="213"/>
      <c r="AY1" s="213"/>
      <c r="AZ1" s="172" t="s">
        <v>32</v>
      </c>
      <c r="BA1" s="64" t="s">
        <v>21</v>
      </c>
      <c r="BB1" s="64"/>
      <c r="BC1" s="8"/>
      <c r="BD1" s="53"/>
      <c r="BE1" s="54" t="s">
        <v>3</v>
      </c>
      <c r="BF1" s="54"/>
      <c r="BG1" s="54"/>
      <c r="BH1" s="54"/>
      <c r="BI1" s="54"/>
      <c r="BJ1" s="54"/>
      <c r="BK1" s="54"/>
      <c r="BL1" s="57"/>
      <c r="BM1" s="58" t="s">
        <v>4</v>
      </c>
      <c r="BN1" s="58" t="s">
        <v>5</v>
      </c>
      <c r="BO1" s="8"/>
      <c r="BP1" s="11"/>
      <c r="BQ1" s="12"/>
      <c r="BR1" s="12"/>
      <c r="BS1" s="12"/>
      <c r="BT1" s="12"/>
      <c r="BU1" s="12"/>
      <c r="BV1" s="12"/>
      <c r="BW1" s="12"/>
      <c r="BX1" s="12"/>
      <c r="BY1" s="12"/>
      <c r="BZ1" s="9" t="s">
        <v>62</v>
      </c>
      <c r="CA1" s="13"/>
      <c r="CB1" s="212" t="s">
        <v>63</v>
      </c>
      <c r="CC1" s="212"/>
      <c r="CD1" s="212"/>
      <c r="CE1" s="212"/>
      <c r="CF1" s="212"/>
      <c r="CG1" s="212"/>
      <c r="CH1" s="212"/>
      <c r="CI1" s="212"/>
      <c r="CJ1" s="212"/>
      <c r="CK1" s="212"/>
      <c r="CL1" s="212"/>
      <c r="CM1" s="212"/>
      <c r="CN1" s="212"/>
      <c r="CO1" s="212"/>
      <c r="CP1" s="212"/>
      <c r="CQ1" s="212"/>
      <c r="CR1" s="212"/>
      <c r="CS1" s="212"/>
      <c r="CT1" s="212"/>
      <c r="CU1" s="212"/>
      <c r="CV1" s="212"/>
      <c r="CW1" s="212"/>
      <c r="CX1" s="212"/>
      <c r="CY1" s="212"/>
      <c r="CZ1" s="212"/>
      <c r="DA1" s="212"/>
      <c r="DB1" s="212"/>
      <c r="DC1" s="212"/>
    </row>
    <row r="2" spans="1:108" s="16" customFormat="1" ht="18" x14ac:dyDescent="0.35">
      <c r="A2" s="38"/>
      <c r="B2" s="30" t="s">
        <v>64</v>
      </c>
      <c r="C2" s="30" t="s">
        <v>65</v>
      </c>
      <c r="D2" s="30" t="s">
        <v>66</v>
      </c>
      <c r="E2" s="40" t="s">
        <v>67</v>
      </c>
      <c r="F2" s="41" t="s">
        <v>68</v>
      </c>
      <c r="G2" s="42" t="s">
        <v>69</v>
      </c>
      <c r="H2" s="13"/>
      <c r="I2" s="13"/>
      <c r="J2" s="71"/>
      <c r="K2" s="75" t="s">
        <v>70</v>
      </c>
      <c r="L2" s="78" t="s">
        <v>104</v>
      </c>
      <c r="M2" s="81" t="s">
        <v>35</v>
      </c>
      <c r="N2" s="17" t="s">
        <v>36</v>
      </c>
      <c r="O2" s="17" t="s">
        <v>37</v>
      </c>
      <c r="P2" s="161" t="s">
        <v>29</v>
      </c>
      <c r="Q2" s="152" t="s">
        <v>38</v>
      </c>
      <c r="R2" s="10" t="s">
        <v>39</v>
      </c>
      <c r="S2" s="10" t="s">
        <v>40</v>
      </c>
      <c r="T2" s="153" t="s">
        <v>41</v>
      </c>
      <c r="U2" s="152" t="s">
        <v>1</v>
      </c>
      <c r="V2" s="149" t="s">
        <v>2</v>
      </c>
      <c r="W2" s="149" t="s">
        <v>228</v>
      </c>
      <c r="X2" s="149" t="s">
        <v>227</v>
      </c>
      <c r="Y2" s="149" t="s">
        <v>229</v>
      </c>
      <c r="Z2" s="149" t="s">
        <v>230</v>
      </c>
      <c r="AA2" s="149" t="s">
        <v>232</v>
      </c>
      <c r="AB2" s="149" t="s">
        <v>233</v>
      </c>
      <c r="AC2" s="149" t="s">
        <v>234</v>
      </c>
      <c r="AD2" s="149" t="s">
        <v>261</v>
      </c>
      <c r="AE2" s="149" t="s">
        <v>262</v>
      </c>
      <c r="AF2" s="148" t="s">
        <v>263</v>
      </c>
      <c r="AG2" s="153" t="s">
        <v>264</v>
      </c>
      <c r="AH2" s="152" t="s">
        <v>1</v>
      </c>
      <c r="AI2" s="10" t="s">
        <v>2</v>
      </c>
      <c r="AJ2" s="86" t="s">
        <v>228</v>
      </c>
      <c r="AK2" s="86" t="s">
        <v>227</v>
      </c>
      <c r="AL2" s="86" t="s">
        <v>229</v>
      </c>
      <c r="AM2" s="86" t="s">
        <v>230</v>
      </c>
      <c r="AN2" s="86" t="s">
        <v>232</v>
      </c>
      <c r="AO2" s="86" t="s">
        <v>233</v>
      </c>
      <c r="AP2" s="86" t="s">
        <v>234</v>
      </c>
      <c r="AQ2" s="149" t="s">
        <v>433</v>
      </c>
      <c r="AR2" s="149" t="s">
        <v>434</v>
      </c>
      <c r="AS2" s="149" t="s">
        <v>435</v>
      </c>
      <c r="AT2" s="153" t="s">
        <v>436</v>
      </c>
      <c r="AU2" s="152" t="s">
        <v>100</v>
      </c>
      <c r="AV2" s="70" t="s">
        <v>101</v>
      </c>
      <c r="AW2" s="10" t="s">
        <v>42</v>
      </c>
      <c r="AX2" s="10" t="s">
        <v>74</v>
      </c>
      <c r="AY2" s="153" t="s">
        <v>190</v>
      </c>
      <c r="AZ2" s="172" t="s">
        <v>33</v>
      </c>
      <c r="BA2" s="64" t="s">
        <v>34</v>
      </c>
      <c r="BB2" s="64" t="s">
        <v>197</v>
      </c>
      <c r="BC2" s="18"/>
      <c r="BD2" s="53" t="s">
        <v>6</v>
      </c>
      <c r="BE2" s="54" t="s">
        <v>7</v>
      </c>
      <c r="BF2" s="54" t="s">
        <v>8</v>
      </c>
      <c r="BG2" s="54" t="s">
        <v>9</v>
      </c>
      <c r="BH2" s="54" t="s">
        <v>10</v>
      </c>
      <c r="BI2" s="54" t="s">
        <v>11</v>
      </c>
      <c r="BJ2" s="54" t="s">
        <v>12</v>
      </c>
      <c r="BK2" s="54" t="s">
        <v>13</v>
      </c>
      <c r="BL2" s="57" t="s">
        <v>14</v>
      </c>
      <c r="BM2" s="59" t="s">
        <v>15</v>
      </c>
      <c r="BN2" s="59" t="s">
        <v>16</v>
      </c>
      <c r="BO2" s="18"/>
      <c r="BP2" s="11" t="s">
        <v>97</v>
      </c>
      <c r="BQ2" s="7" t="s">
        <v>38</v>
      </c>
      <c r="BR2" s="7" t="s">
        <v>39</v>
      </c>
      <c r="BS2" s="7" t="s">
        <v>40</v>
      </c>
      <c r="BT2" s="7" t="s">
        <v>41</v>
      </c>
      <c r="BU2" s="70" t="s">
        <v>100</v>
      </c>
      <c r="BV2" s="69" t="s">
        <v>101</v>
      </c>
      <c r="BW2" s="10" t="s">
        <v>42</v>
      </c>
      <c r="BX2" s="8" t="s">
        <v>74</v>
      </c>
      <c r="BY2" s="8" t="s">
        <v>23</v>
      </c>
      <c r="BZ2" s="9" t="s">
        <v>70</v>
      </c>
      <c r="CA2" s="13"/>
      <c r="CB2" s="9" t="s">
        <v>98</v>
      </c>
      <c r="CC2" s="14" t="s">
        <v>98</v>
      </c>
      <c r="CD2" s="176" t="s">
        <v>82</v>
      </c>
      <c r="CE2" s="180" t="s">
        <v>83</v>
      </c>
      <c r="CF2" s="180" t="s">
        <v>83</v>
      </c>
      <c r="CG2" s="4" t="s">
        <v>83</v>
      </c>
      <c r="CH2" s="177" t="s">
        <v>92</v>
      </c>
      <c r="CI2" s="177" t="s">
        <v>93</v>
      </c>
      <c r="CJ2" s="177" t="s">
        <v>94</v>
      </c>
      <c r="CK2" s="177" t="s">
        <v>95</v>
      </c>
      <c r="CL2" s="177" t="s">
        <v>96</v>
      </c>
      <c r="CM2" s="177" t="s">
        <v>43</v>
      </c>
      <c r="CN2" s="177" t="s">
        <v>44</v>
      </c>
      <c r="CO2" s="177" t="s">
        <v>45</v>
      </c>
      <c r="CP2" s="15" t="s">
        <v>46</v>
      </c>
      <c r="CQ2" s="181" t="s">
        <v>47</v>
      </c>
      <c r="CR2" s="181" t="s">
        <v>48</v>
      </c>
      <c r="CS2" s="181" t="s">
        <v>49</v>
      </c>
      <c r="CT2" s="181" t="s">
        <v>50</v>
      </c>
      <c r="CU2" s="181" t="s">
        <v>84</v>
      </c>
      <c r="CV2" s="181" t="s">
        <v>85</v>
      </c>
      <c r="CW2" s="181" t="s">
        <v>86</v>
      </c>
      <c r="CX2" s="181" t="s">
        <v>87</v>
      </c>
      <c r="CY2" s="19" t="s">
        <v>88</v>
      </c>
      <c r="CZ2" s="182" t="s">
        <v>89</v>
      </c>
      <c r="DA2" s="7" t="s">
        <v>90</v>
      </c>
      <c r="DB2" s="12" t="s">
        <v>91</v>
      </c>
      <c r="DC2" s="20" t="s">
        <v>51</v>
      </c>
    </row>
    <row r="3" spans="1:108" s="16" customFormat="1" ht="17.25" x14ac:dyDescent="0.25">
      <c r="A3" s="38"/>
      <c r="B3" s="30" t="s">
        <v>75</v>
      </c>
      <c r="C3" s="30" t="s">
        <v>76</v>
      </c>
      <c r="D3" s="30"/>
      <c r="E3" s="40" t="s">
        <v>77</v>
      </c>
      <c r="F3" s="41" t="s">
        <v>78</v>
      </c>
      <c r="G3" s="42"/>
      <c r="H3" s="13" t="s">
        <v>167</v>
      </c>
      <c r="I3" s="13" t="s">
        <v>168</v>
      </c>
      <c r="J3" s="71" t="s">
        <v>79</v>
      </c>
      <c r="K3" s="74" t="s">
        <v>438</v>
      </c>
      <c r="L3" s="77" t="s">
        <v>105</v>
      </c>
      <c r="M3" s="82" t="s">
        <v>52</v>
      </c>
      <c r="N3" s="21" t="s">
        <v>53</v>
      </c>
      <c r="O3" s="21" t="s">
        <v>53</v>
      </c>
      <c r="P3" s="162" t="s">
        <v>30</v>
      </c>
      <c r="Q3" s="155" t="s">
        <v>54</v>
      </c>
      <c r="R3" s="22" t="s">
        <v>54</v>
      </c>
      <c r="S3" s="22" t="s">
        <v>54</v>
      </c>
      <c r="T3" s="154" t="s">
        <v>54</v>
      </c>
      <c r="U3" s="22" t="s">
        <v>81</v>
      </c>
      <c r="V3" s="22" t="s">
        <v>81</v>
      </c>
      <c r="W3" s="22" t="s">
        <v>81</v>
      </c>
      <c r="X3" s="22" t="s">
        <v>81</v>
      </c>
      <c r="Y3" s="22" t="s">
        <v>81</v>
      </c>
      <c r="Z3" s="22" t="s">
        <v>81</v>
      </c>
      <c r="AA3" s="22" t="s">
        <v>81</v>
      </c>
      <c r="AB3" s="22" t="s">
        <v>81</v>
      </c>
      <c r="AC3" s="22" t="s">
        <v>81</v>
      </c>
      <c r="AD3" s="22" t="s">
        <v>259</v>
      </c>
      <c r="AE3" s="22" t="s">
        <v>259</v>
      </c>
      <c r="AF3" s="168" t="s">
        <v>259</v>
      </c>
      <c r="AG3" s="154" t="s">
        <v>432</v>
      </c>
      <c r="AH3" s="155" t="s">
        <v>81</v>
      </c>
      <c r="AI3" s="155" t="s">
        <v>81</v>
      </c>
      <c r="AJ3" s="155" t="s">
        <v>81</v>
      </c>
      <c r="AK3" s="155" t="s">
        <v>81</v>
      </c>
      <c r="AL3" s="155" t="s">
        <v>81</v>
      </c>
      <c r="AM3" s="155" t="s">
        <v>81</v>
      </c>
      <c r="AN3" s="155" t="s">
        <v>81</v>
      </c>
      <c r="AO3" s="155" t="s">
        <v>81</v>
      </c>
      <c r="AP3" s="155" t="s">
        <v>81</v>
      </c>
      <c r="AQ3" s="22" t="s">
        <v>259</v>
      </c>
      <c r="AR3" s="22" t="s">
        <v>259</v>
      </c>
      <c r="AS3" s="22" t="s">
        <v>259</v>
      </c>
      <c r="AT3" s="154" t="s">
        <v>432</v>
      </c>
      <c r="AU3" s="155" t="s">
        <v>102</v>
      </c>
      <c r="AV3" s="22" t="s">
        <v>103</v>
      </c>
      <c r="AW3" s="22" t="s">
        <v>54</v>
      </c>
      <c r="AX3" s="22" t="s">
        <v>54</v>
      </c>
      <c r="AY3" s="154" t="s">
        <v>54</v>
      </c>
      <c r="AZ3" s="172" t="s">
        <v>59</v>
      </c>
      <c r="BA3" s="64" t="s">
        <v>59</v>
      </c>
      <c r="BB3" s="64" t="s">
        <v>59</v>
      </c>
      <c r="BC3" s="32"/>
      <c r="BD3" s="53"/>
      <c r="BE3" s="54"/>
      <c r="BF3" s="54"/>
      <c r="BG3" s="54" t="s">
        <v>17</v>
      </c>
      <c r="BH3" s="54"/>
      <c r="BI3" s="54" t="s">
        <v>18</v>
      </c>
      <c r="BJ3" s="54"/>
      <c r="BK3" s="54" t="s">
        <v>18</v>
      </c>
      <c r="BL3" s="57" t="s">
        <v>19</v>
      </c>
      <c r="BM3" s="60" t="s">
        <v>19</v>
      </c>
      <c r="BN3" s="60" t="s">
        <v>19</v>
      </c>
      <c r="BO3" s="32"/>
      <c r="BP3" s="12" t="s">
        <v>80</v>
      </c>
      <c r="BQ3" s="12" t="s">
        <v>80</v>
      </c>
      <c r="BR3" s="12" t="s">
        <v>80</v>
      </c>
      <c r="BS3" s="12" t="s">
        <v>80</v>
      </c>
      <c r="BT3" s="12" t="s">
        <v>80</v>
      </c>
      <c r="BU3" s="12" t="s">
        <v>80</v>
      </c>
      <c r="BV3" s="12" t="s">
        <v>80</v>
      </c>
      <c r="BW3" s="12" t="s">
        <v>80</v>
      </c>
      <c r="BX3" s="12" t="s">
        <v>80</v>
      </c>
      <c r="BY3" s="12" t="s">
        <v>80</v>
      </c>
      <c r="BZ3" s="9" t="s">
        <v>80</v>
      </c>
      <c r="CA3" s="13"/>
      <c r="CB3" s="9" t="s">
        <v>80</v>
      </c>
      <c r="CC3" s="14" t="s">
        <v>55</v>
      </c>
      <c r="CD3" s="177" t="s">
        <v>58</v>
      </c>
      <c r="CE3" s="180" t="s">
        <v>56</v>
      </c>
      <c r="CF3" s="180" t="s">
        <v>57</v>
      </c>
      <c r="CG3" s="4" t="s">
        <v>24</v>
      </c>
      <c r="CH3" s="177" t="s">
        <v>25</v>
      </c>
      <c r="CI3" s="177" t="s">
        <v>25</v>
      </c>
      <c r="CJ3" s="177" t="s">
        <v>25</v>
      </c>
      <c r="CK3" s="177" t="s">
        <v>25</v>
      </c>
      <c r="CL3" s="177" t="s">
        <v>25</v>
      </c>
      <c r="CM3" s="177" t="s">
        <v>25</v>
      </c>
      <c r="CN3" s="177" t="s">
        <v>25</v>
      </c>
      <c r="CO3" s="177" t="s">
        <v>25</v>
      </c>
      <c r="CP3" s="15" t="s">
        <v>25</v>
      </c>
      <c r="CQ3" s="177" t="s">
        <v>26</v>
      </c>
      <c r="CR3" s="177" t="s">
        <v>26</v>
      </c>
      <c r="CS3" s="177" t="s">
        <v>26</v>
      </c>
      <c r="CT3" s="177" t="s">
        <v>26</v>
      </c>
      <c r="CU3" s="177" t="s">
        <v>26</v>
      </c>
      <c r="CV3" s="177" t="s">
        <v>26</v>
      </c>
      <c r="CW3" s="177" t="s">
        <v>26</v>
      </c>
      <c r="CX3" s="177" t="s">
        <v>26</v>
      </c>
      <c r="CY3" s="15" t="s">
        <v>26</v>
      </c>
      <c r="CZ3" s="7" t="s">
        <v>27</v>
      </c>
      <c r="DA3" s="7" t="s">
        <v>27</v>
      </c>
      <c r="DB3" s="7" t="s">
        <v>27</v>
      </c>
      <c r="DC3" s="6" t="s">
        <v>55</v>
      </c>
    </row>
    <row r="4" spans="1:108" ht="12.75" customHeight="1" x14ac:dyDescent="0.25">
      <c r="A4" s="38">
        <v>1</v>
      </c>
      <c r="B4" s="30">
        <v>1</v>
      </c>
      <c r="C4" s="43" t="s">
        <v>166</v>
      </c>
      <c r="D4" s="43" t="s">
        <v>22</v>
      </c>
      <c r="E4" s="44" t="s">
        <v>165</v>
      </c>
      <c r="F4" s="45">
        <v>1000</v>
      </c>
      <c r="G4" s="48"/>
      <c r="H4" s="28" t="s">
        <v>172</v>
      </c>
      <c r="I4" s="28" t="s">
        <v>169</v>
      </c>
      <c r="J4" s="72">
        <v>6.83</v>
      </c>
      <c r="K4" s="192">
        <v>241.77287581699343</v>
      </c>
      <c r="L4" s="79">
        <v>35.5</v>
      </c>
      <c r="M4" s="83">
        <v>20.9</v>
      </c>
      <c r="N4" s="49">
        <v>0.29099999999999998</v>
      </c>
      <c r="O4" s="49">
        <v>3.6999999999999998E-2</v>
      </c>
      <c r="P4" s="163">
        <v>6.6559999999999997</v>
      </c>
      <c r="Q4" s="164">
        <v>6.0684677144444858</v>
      </c>
      <c r="R4" s="142">
        <v>0.54896043614077494</v>
      </c>
      <c r="S4" s="142">
        <v>1.6428362443451692</v>
      </c>
      <c r="T4" s="158">
        <v>0.47437609140344811</v>
      </c>
      <c r="U4" s="159">
        <v>8.7913269088213486</v>
      </c>
      <c r="V4" s="198">
        <v>5.8655206374787356</v>
      </c>
      <c r="W4" s="65">
        <v>0.67494266263788261</v>
      </c>
      <c r="X4" s="195">
        <v>9.4237837068549372E-3</v>
      </c>
      <c r="Y4" s="195">
        <v>1.4949800144777011E-2</v>
      </c>
      <c r="Z4" s="195">
        <v>5.7815845824411134E-2</v>
      </c>
      <c r="AA4" s="195">
        <v>1.7791853110460721E-4</v>
      </c>
      <c r="AB4" s="195">
        <v>3.369556060988965E-4</v>
      </c>
      <c r="AC4" s="195">
        <v>3.3201779114201591E-3</v>
      </c>
      <c r="AD4" s="35">
        <v>0.18412032467961925</v>
      </c>
      <c r="AE4" s="35">
        <v>0.20369230309638234</v>
      </c>
      <c r="AF4" s="169">
        <v>0.20544527564612836</v>
      </c>
      <c r="AG4" s="165">
        <f>AD4/AE4</f>
        <v>0.90391400107297082</v>
      </c>
      <c r="AH4" s="159">
        <v>4.537064492216456</v>
      </c>
      <c r="AI4" s="65">
        <v>3.6064106007699883</v>
      </c>
      <c r="AJ4" s="65">
        <v>0.41628745130874806</v>
      </c>
      <c r="AK4" s="65">
        <v>4.6157307951942552E-3</v>
      </c>
      <c r="AL4" s="65">
        <v>1.2746671702388822E-2</v>
      </c>
      <c r="AM4" s="65">
        <v>7.1702670886269471E-2</v>
      </c>
      <c r="AN4" s="195">
        <v>1.7791853110460721E-4</v>
      </c>
      <c r="AO4" s="195">
        <v>4.2119450762362061E-4</v>
      </c>
      <c r="AP4" s="195">
        <v>1.3155421913174216E-3</v>
      </c>
      <c r="AQ4" s="35">
        <v>5.8681182968596389E-2</v>
      </c>
      <c r="AR4" s="35">
        <v>6.7391517787775954E-2</v>
      </c>
      <c r="AS4" s="35">
        <v>7.2417364343189405E-2</v>
      </c>
      <c r="AT4" s="165">
        <f>AQ4/AR4</f>
        <v>0.87075027978135966</v>
      </c>
      <c r="AU4" s="166">
        <v>2.9803990078934457</v>
      </c>
      <c r="AV4" s="91">
        <v>1.3208637758539172</v>
      </c>
      <c r="AW4" s="89">
        <v>2.6265348409241498</v>
      </c>
      <c r="AX4" s="90">
        <v>7.8331696803065107E-2</v>
      </c>
      <c r="AY4" s="173"/>
      <c r="AZ4" s="185">
        <v>4.58</v>
      </c>
      <c r="BA4" s="36">
        <v>0.6516636752726761</v>
      </c>
      <c r="BB4" s="92">
        <f>AZ4-BA4</f>
        <v>3.928336324727324</v>
      </c>
      <c r="BC4" s="37"/>
      <c r="BD4" s="55">
        <v>3.42</v>
      </c>
      <c r="BE4" s="56">
        <f>10^-BD4</f>
        <v>3.8018939632056113E-4</v>
      </c>
      <c r="BF4" s="56">
        <v>3.1622776601683798E-2</v>
      </c>
      <c r="BG4" s="56">
        <f>+BE4*BF4</f>
        <v>1.2022644346174128E-5</v>
      </c>
      <c r="BH4" s="56">
        <v>5.0118723362727197E-7</v>
      </c>
      <c r="BI4" s="56">
        <f t="shared" ref="BI4:BI14" si="0">+((BH4/(10^(-J4)))*BG4)*1000000</f>
        <v>40.738027780411343</v>
      </c>
      <c r="BJ4" s="56">
        <v>5.6234132519034893E-11</v>
      </c>
      <c r="BK4" s="56">
        <f t="shared" ref="BK4:BK14" si="1">+(((BH4*BJ4)/(10^(-J4)))*BG4)*1000000</f>
        <v>2.2908676527677762E-9</v>
      </c>
      <c r="BL4" s="61">
        <f>+BI4+2*BK4</f>
        <v>40.738027784993079</v>
      </c>
      <c r="BM4" s="62">
        <f t="shared" ref="BM4:BM14" si="2">+(5.5*(P4))*(10^-(0.96+0.9*J4-0.039*((J4)^2)))/((10^-(0.96+0.9*J4-0.039*((J4)^2)))+(10^-J4))</f>
        <v>35.587094755821454</v>
      </c>
      <c r="BN4" s="62">
        <f t="shared" ref="BN4:BN14" si="3">+(5.5*(P4))*(10^-(0.96+0.9*4.5-0.039*((4.5)^2)))/((10^-(0.96+0.9*4.5-0.039*((4.5)^2)))+(10^-4.5))</f>
        <v>24.003519998537701</v>
      </c>
      <c r="BO4" s="37"/>
      <c r="BP4" s="23">
        <f t="shared" ref="BP4:BP14" si="4">(10^-J4)*1000000</f>
        <v>0.14791083881682041</v>
      </c>
      <c r="BQ4" s="25">
        <f t="shared" ref="BQ4:BQ14" si="5">(Q4/40.078*1000)*2</f>
        <v>302.83286164202235</v>
      </c>
      <c r="BR4" s="24">
        <f t="shared" ref="BR4:BR14" si="6">(R4/24.312*1000)*2</f>
        <v>45.159627849685336</v>
      </c>
      <c r="BS4" s="24">
        <f t="shared" ref="BS4:BS14" si="7">(S4/22.99*1000)</f>
        <v>71.458731811447109</v>
      </c>
      <c r="BT4" s="24">
        <f t="shared" ref="BT4:BT14" si="8">(T4/39.102*1000)</f>
        <v>12.13176030390896</v>
      </c>
      <c r="BU4" s="24">
        <f t="shared" ref="BU4:BU14" si="9">(AU4/96.064*1000)*2</f>
        <v>62.050279145016773</v>
      </c>
      <c r="BV4" s="24">
        <f t="shared" ref="BV4:BV14" si="10">(AV4/62.0067*1000)</f>
        <v>21.301952464071096</v>
      </c>
      <c r="BW4" s="24">
        <f t="shared" ref="BW4:BW14" si="11">(AW4/35.453*1000)</f>
        <v>74.084981268839016</v>
      </c>
      <c r="BX4" s="23">
        <f t="shared" ref="BX4:BX14" si="12">(AX4/18.998)*1000</f>
        <v>4.1231549006771813</v>
      </c>
      <c r="BY4" s="23">
        <f t="shared" ref="BY4:BY14" si="13">+BA4/30.97*3</f>
        <v>6.3125315654440697E-2</v>
      </c>
      <c r="BZ4" s="25">
        <f t="shared" ref="BZ4:BZ14" si="14">IF(J4&lt;5.5,0,K4-31.62+BP4)</f>
        <v>210.30078665581024</v>
      </c>
      <c r="CA4" s="26"/>
      <c r="CB4" s="25">
        <f t="shared" ref="CB4:CB14" si="15">SUM(BP4:BT4)-SUM(BU4:BZ4)</f>
        <v>59.806612695811793</v>
      </c>
      <c r="CC4" s="27">
        <f t="shared" ref="CC4:CC14" si="16">CB4/SUM(BP4:BZ4)*100</f>
        <v>7.4418251465231151</v>
      </c>
      <c r="CD4" s="178">
        <f t="shared" ref="CD4:CD14" si="17">0.5*(SUM(BP4:BT4)+SUM(BU4:BX4))*0.000001</f>
        <v>2.9664563011224228E-4</v>
      </c>
      <c r="CE4" s="23">
        <f t="shared" ref="CE4" si="18">(10^(-0.51*CD4^0.5))</f>
        <v>0.97997740896069607</v>
      </c>
      <c r="CF4" s="23">
        <f t="shared" ref="CF4" si="19">(10^(-0.51*4*CD4^0.5))</f>
        <v>0.92228311291896681</v>
      </c>
      <c r="CG4" s="51">
        <f t="shared" ref="CG4" si="20">(10^(-0.51*2.3^2*CD4^0.5))</f>
        <v>0.89853082279414509</v>
      </c>
      <c r="CH4" s="178">
        <f t="shared" ref="CH4:CH14" si="21">(CE4*BP4*10^-9)</f>
        <v>1.4494928058091082E-10</v>
      </c>
      <c r="CI4" s="178">
        <f t="shared" ref="CI4:CI14" si="22">(CF4*0.5*BQ4*10^-9)</f>
        <v>1.3964881716468161E-7</v>
      </c>
      <c r="CJ4" s="178">
        <f t="shared" ref="CJ4:CJ14" si="23">(CF4*0.5*BR4*10^-9)</f>
        <v>2.082498107573493E-8</v>
      </c>
      <c r="CK4" s="178">
        <f t="shared" ref="CK4:CK14" si="24">(CE4*BS4*10^-9)</f>
        <v>7.0027942848199204E-8</v>
      </c>
      <c r="CL4" s="178">
        <f t="shared" ref="CL4:CL14" si="25">(CE4*BT4*10^-9)</f>
        <v>1.1888851028756931E-8</v>
      </c>
      <c r="CM4" s="178">
        <f t="shared" ref="CM4:CM14" si="26">(CF4*0.5*BU4*10^-9)</f>
        <v>2.8613962303678462E-8</v>
      </c>
      <c r="CN4" s="178">
        <f t="shared" ref="CN4:CN14" si="27">(CE4*BW4*10^-9)</f>
        <v>7.2601607986738559E-8</v>
      </c>
      <c r="CO4" s="178">
        <f t="shared" ref="CO4:CO14" si="28">(CE4*BV4*10^-9)</f>
        <v>2.0875432181544309E-8</v>
      </c>
      <c r="CP4" s="52">
        <f t="shared" ref="CP4:CP14" si="29">(CE4*BI4*10^-9)</f>
        <v>3.9922346910416366E-8</v>
      </c>
      <c r="CQ4" s="178">
        <f t="shared" ref="CQ4:CQ14" si="30">(CH4*349.6)</f>
        <v>5.067426849108643E-8</v>
      </c>
      <c r="CR4" s="178">
        <f>(CI4*119)</f>
        <v>1.6618209242597111E-5</v>
      </c>
      <c r="CS4" s="178">
        <f>(CJ4*106)</f>
        <v>2.2074479940279026E-6</v>
      </c>
      <c r="CT4" s="178">
        <f>(CK4*50.1)</f>
        <v>3.5083999366947804E-6</v>
      </c>
      <c r="CU4" s="178">
        <f>(CL4*73.5)</f>
        <v>8.7383055061363447E-7</v>
      </c>
      <c r="CV4" s="178">
        <f>(CM4*160)</f>
        <v>4.5782339685885541E-6</v>
      </c>
      <c r="CW4" s="178">
        <f>(CN4*76.3)</f>
        <v>5.539502689388152E-6</v>
      </c>
      <c r="CX4" s="178">
        <f>(CO4*71.4)</f>
        <v>1.4905058577622637E-6</v>
      </c>
      <c r="CY4" s="52">
        <f>(CP4*44.5)</f>
        <v>1.7765444375135283E-6</v>
      </c>
      <c r="CZ4" s="24">
        <f t="shared" ref="CZ4:CZ14" si="31">(SUM(CQ4:CX4)*10^5)</f>
        <v>3.4866804508163485</v>
      </c>
      <c r="DA4" s="24">
        <f>L4/10</f>
        <v>3.55</v>
      </c>
      <c r="DB4" s="24">
        <f t="shared" ref="DB4" si="32">(DA4-CZ4)</f>
        <v>6.3319549183651347E-2</v>
      </c>
      <c r="DC4" s="27">
        <f t="shared" ref="DC4" si="33">(DB4*100/DA4)</f>
        <v>1.7836492727789113</v>
      </c>
      <c r="DD4" s="16"/>
    </row>
    <row r="5" spans="1:108" ht="15.75" x14ac:dyDescent="0.25">
      <c r="B5" s="30">
        <v>2</v>
      </c>
      <c r="C5" s="29" t="s">
        <v>170</v>
      </c>
      <c r="D5" s="29" t="s">
        <v>0</v>
      </c>
      <c r="E5" s="46" t="s">
        <v>171</v>
      </c>
      <c r="F5" s="34">
        <v>1000</v>
      </c>
      <c r="H5" s="28" t="s">
        <v>172</v>
      </c>
      <c r="I5" s="28" t="s">
        <v>169</v>
      </c>
      <c r="J5" s="73">
        <v>6.6</v>
      </c>
      <c r="K5" s="193">
        <v>346.51930261519306</v>
      </c>
      <c r="L5" s="80">
        <v>64</v>
      </c>
      <c r="M5" s="84">
        <v>21.4</v>
      </c>
      <c r="N5" s="68">
        <v>0.27500000000000002</v>
      </c>
      <c r="O5" s="68">
        <v>3.5000000000000003E-2</v>
      </c>
      <c r="P5" s="163">
        <v>6.5380000000000003</v>
      </c>
      <c r="Q5" s="164">
        <v>8.4512658170551767</v>
      </c>
      <c r="R5" s="142">
        <v>0.89743638548216575</v>
      </c>
      <c r="S5" s="142">
        <v>2.6917224357684515</v>
      </c>
      <c r="T5" s="158">
        <v>0.60769756858625779</v>
      </c>
      <c r="U5" s="157">
        <v>7.3843587842846548</v>
      </c>
      <c r="V5" s="91">
        <v>5.2704807950577486</v>
      </c>
      <c r="W5" s="2">
        <v>0.33965561178055259</v>
      </c>
      <c r="X5" s="68">
        <v>1.0193072172720648E-2</v>
      </c>
      <c r="Y5" s="68">
        <v>1.7152928587165203E-2</v>
      </c>
      <c r="Z5" s="68">
        <v>4.8944631385744883E-2</v>
      </c>
      <c r="AA5" s="68">
        <v>8.8959265552303603E-5</v>
      </c>
      <c r="AB5" s="68">
        <v>3.369556060988965E-4</v>
      </c>
      <c r="AC5" s="68">
        <v>2.4431497838752116E-3</v>
      </c>
      <c r="AD5" s="35">
        <v>0.14031721129514663</v>
      </c>
      <c r="AE5" s="35">
        <v>0.15103352976554996</v>
      </c>
      <c r="AF5" s="169">
        <v>0.15381025201800608</v>
      </c>
      <c r="AG5" s="165">
        <f t="shared" ref="AG5:AG14" si="34">AD5/AE5</f>
        <v>0.92904675877576115</v>
      </c>
      <c r="AH5" s="157">
        <v>3.8257968865826539</v>
      </c>
      <c r="AI5" s="2">
        <v>3.5027307726743668</v>
      </c>
      <c r="AJ5" s="2">
        <v>0.12869052386326404</v>
      </c>
      <c r="AK5" s="2">
        <v>5.0003750281271096E-3</v>
      </c>
      <c r="AL5" s="2">
        <v>1.3848235923582917E-2</v>
      </c>
      <c r="AM5" s="2">
        <v>4.6171016221009338E-2</v>
      </c>
      <c r="AN5" s="68">
        <v>8.8959265552303603E-5</v>
      </c>
      <c r="AO5" s="68">
        <v>5.8967231067306894E-4</v>
      </c>
      <c r="AP5" s="68">
        <v>1.0023178600513688E-3</v>
      </c>
      <c r="AQ5" s="35">
        <v>4.5103062489367095E-2</v>
      </c>
      <c r="AR5" s="35">
        <v>4.8986874368761847E-2</v>
      </c>
      <c r="AS5" s="35">
        <v>5.509331608772837E-2</v>
      </c>
      <c r="AT5" s="165">
        <f t="shared" ref="AT5:AT14" si="35">AQ5/AR5</f>
        <v>0.92071729561354909</v>
      </c>
      <c r="AU5" s="166">
        <v>4.7470767520003845</v>
      </c>
      <c r="AV5" s="91">
        <v>1.4001543695492296</v>
      </c>
      <c r="AW5" s="89">
        <v>3.7061480085695822</v>
      </c>
      <c r="AX5" s="90">
        <v>8.3136873949236023E-2</v>
      </c>
      <c r="AY5" s="173"/>
      <c r="AZ5" s="186">
        <v>6.68</v>
      </c>
      <c r="BA5" s="188">
        <v>1.4278613834046656</v>
      </c>
      <c r="BB5" s="92">
        <f t="shared" ref="BB5:BB14" si="36">AZ5-BA5</f>
        <v>5.2521386165953343</v>
      </c>
      <c r="BD5" s="55">
        <v>3.42</v>
      </c>
      <c r="BE5" s="56">
        <f t="shared" ref="BE5:BE14" si="37">10^-BD5</f>
        <v>3.8018939632056113E-4</v>
      </c>
      <c r="BF5" s="56">
        <v>3.1622776601683798E-2</v>
      </c>
      <c r="BG5" s="56">
        <f t="shared" ref="BG5:BG14" si="38">+BE5*BF5</f>
        <v>1.2022644346174128E-5</v>
      </c>
      <c r="BH5" s="56">
        <v>5.0118723362727197E-7</v>
      </c>
      <c r="BI5" s="56">
        <f t="shared" si="0"/>
        <v>23.988329190194907</v>
      </c>
      <c r="BJ5" s="56">
        <v>5.6234132519034893E-11</v>
      </c>
      <c r="BK5" s="56">
        <f t="shared" si="1"/>
        <v>1.3489628825916535E-9</v>
      </c>
      <c r="BL5" s="175">
        <f t="shared" ref="BL5:BL14" si="39">+BI5+2*BK5</f>
        <v>23.988329192892834</v>
      </c>
      <c r="BM5" s="62">
        <f t="shared" si="2"/>
        <v>34.578714750085958</v>
      </c>
      <c r="BN5" s="62">
        <f t="shared" si="3"/>
        <v>23.577976825486704</v>
      </c>
      <c r="BO5" s="37"/>
      <c r="BP5" s="23">
        <f t="shared" si="4"/>
        <v>0.25118864315095779</v>
      </c>
      <c r="BQ5" s="25">
        <f t="shared" si="5"/>
        <v>421.74089610535339</v>
      </c>
      <c r="BR5" s="24">
        <f t="shared" si="6"/>
        <v>73.826619404587504</v>
      </c>
      <c r="BS5" s="25">
        <f t="shared" si="7"/>
        <v>117.0823156054133</v>
      </c>
      <c r="BT5" s="24">
        <f t="shared" si="8"/>
        <v>15.541342350423452</v>
      </c>
      <c r="BU5" s="24">
        <f t="shared" si="9"/>
        <v>98.831544636916732</v>
      </c>
      <c r="BV5" s="24">
        <f t="shared" si="10"/>
        <v>22.580694820869834</v>
      </c>
      <c r="BW5" s="25">
        <f t="shared" si="11"/>
        <v>104.5369364671419</v>
      </c>
      <c r="BX5" s="23">
        <f t="shared" si="12"/>
        <v>4.3760855852845566</v>
      </c>
      <c r="BY5" s="23">
        <f t="shared" si="13"/>
        <v>0.13831398612250556</v>
      </c>
      <c r="BZ5" s="25">
        <f t="shared" si="14"/>
        <v>315.150491258344</v>
      </c>
      <c r="CA5" s="26"/>
      <c r="CB5" s="25">
        <f t="shared" si="15"/>
        <v>82.828295354249121</v>
      </c>
      <c r="CC5" s="27">
        <f t="shared" si="16"/>
        <v>7.0548819731280048</v>
      </c>
      <c r="CD5" s="178">
        <f t="shared" si="17"/>
        <v>4.2938381180957083E-4</v>
      </c>
      <c r="CE5" s="23">
        <f t="shared" ref="CE5:CE14" si="40">(10^(-0.51*CD5^0.5))</f>
        <v>0.97595994755644311</v>
      </c>
      <c r="CF5" s="23">
        <f t="shared" ref="CF5:CF14" si="41">(10^(-0.51*4*CD5^0.5))</f>
        <v>0.90725209564624043</v>
      </c>
      <c r="CG5" s="51">
        <f t="shared" ref="CG5:CG14" si="42">(10^(-0.51*2.3^2*CD5^0.5))</f>
        <v>0.87921533357596482</v>
      </c>
      <c r="CH5" s="178">
        <f t="shared" si="21"/>
        <v>2.4515005499638291E-10</v>
      </c>
      <c r="CI5" s="178">
        <f t="shared" si="22"/>
        <v>1.9131265590565261E-7</v>
      </c>
      <c r="CJ5" s="178">
        <f t="shared" si="23"/>
        <v>3.3489677584644703E-8</v>
      </c>
      <c r="CK5" s="178">
        <f t="shared" si="24"/>
        <v>1.1426765059804609E-7</v>
      </c>
      <c r="CL5" s="178">
        <f t="shared" si="25"/>
        <v>1.5167727665276002E-8</v>
      </c>
      <c r="CM5" s="178">
        <f t="shared" si="26"/>
        <v>4.4832562993898833E-8</v>
      </c>
      <c r="CN5" s="178">
        <f t="shared" si="27"/>
        <v>1.0202386303218304E-7</v>
      </c>
      <c r="CO5" s="178">
        <f t="shared" si="28"/>
        <v>2.2037853733164172E-8</v>
      </c>
      <c r="CP5" s="52">
        <f t="shared" si="29"/>
        <v>2.3411648498429317E-8</v>
      </c>
      <c r="CQ5" s="178">
        <f t="shared" si="30"/>
        <v>8.5704459226735469E-8</v>
      </c>
      <c r="CR5" s="178">
        <f t="shared" ref="CR5:CR14" si="43">(CI5*119)</f>
        <v>2.2766206052772662E-5</v>
      </c>
      <c r="CS5" s="178">
        <f t="shared" ref="CS5:CS14" si="44">(CJ5*106)</f>
        <v>3.5499058239723385E-6</v>
      </c>
      <c r="CT5" s="178">
        <f t="shared" ref="CT5:CT14" si="45">(CK5*50.1)</f>
        <v>5.724809294962109E-6</v>
      </c>
      <c r="CU5" s="178">
        <f t="shared" ref="CU5:CU14" si="46">(CL5*73.5)</f>
        <v>1.114827983397786E-6</v>
      </c>
      <c r="CV5" s="178">
        <f t="shared" ref="CV5:CV14" si="47">(CM5*160)</f>
        <v>7.1732100790238135E-6</v>
      </c>
      <c r="CW5" s="178">
        <f t="shared" ref="CW5:CW14" si="48">(CN5*76.3)</f>
        <v>7.7844207493555651E-6</v>
      </c>
      <c r="CX5" s="178">
        <f t="shared" ref="CX5:CX14" si="49">(CO5*71.4)</f>
        <v>1.573502756547922E-6</v>
      </c>
      <c r="CY5" s="52">
        <f t="shared" ref="CY5:CY14" si="50">(CP5*44.5)</f>
        <v>1.0418183581801046E-6</v>
      </c>
      <c r="CZ5" s="24">
        <f t="shared" si="31"/>
        <v>4.9772587199258931</v>
      </c>
      <c r="DA5" s="24">
        <f t="shared" ref="DA5:DA14" si="51">L5/10</f>
        <v>6.4</v>
      </c>
      <c r="DB5" s="24">
        <f t="shared" ref="DB5:DB14" si="52">(DA5-CZ5)</f>
        <v>1.4227412800741073</v>
      </c>
      <c r="DC5" s="27">
        <f t="shared" ref="DC5:DC14" si="53">(DB5*100/DA5)</f>
        <v>22.230332501157925</v>
      </c>
    </row>
    <row r="6" spans="1:108" ht="15.75" x14ac:dyDescent="0.25">
      <c r="B6" s="30">
        <v>10</v>
      </c>
      <c r="C6" s="29" t="s">
        <v>186</v>
      </c>
      <c r="D6" s="29" t="s">
        <v>22</v>
      </c>
      <c r="E6" s="46" t="s">
        <v>187</v>
      </c>
      <c r="F6" s="34">
        <v>1000</v>
      </c>
      <c r="J6" s="73">
        <v>6.68</v>
      </c>
      <c r="K6" s="193">
        <v>111.6865552903739</v>
      </c>
      <c r="L6" s="80">
        <v>19.899999999999999</v>
      </c>
      <c r="M6" s="84">
        <v>18</v>
      </c>
      <c r="N6" s="68">
        <v>0.16300000000000001</v>
      </c>
      <c r="O6" s="68">
        <v>1.7999999999999999E-2</v>
      </c>
      <c r="P6" s="163">
        <v>4.4489999999999998</v>
      </c>
      <c r="Q6" s="164">
        <v>2.5902686975781251</v>
      </c>
      <c r="R6" s="150">
        <v>0.18869372880455609</v>
      </c>
      <c r="S6" s="142">
        <v>1.0203037935276513</v>
      </c>
      <c r="T6" s="158">
        <v>0.32467631637472705</v>
      </c>
      <c r="U6" s="157">
        <v>4.1823573017049664</v>
      </c>
      <c r="V6" s="91">
        <v>1.2609902408451965</v>
      </c>
      <c r="W6" s="2">
        <v>0.12013542538861989</v>
      </c>
      <c r="X6" s="68">
        <v>6.7312740763249548E-3</v>
      </c>
      <c r="Y6" s="68">
        <v>1.3533503288956032E-2</v>
      </c>
      <c r="Z6" s="68">
        <v>6.1945549097583361E-2</v>
      </c>
      <c r="AA6" s="68">
        <v>1.7791853110460721E-4</v>
      </c>
      <c r="AB6" s="68">
        <v>2.5271670457417233E-4</v>
      </c>
      <c r="AC6" s="68">
        <v>2.1299254526091584E-3</v>
      </c>
      <c r="AD6" s="35">
        <v>0.1241104420938513</v>
      </c>
      <c r="AE6" s="35">
        <v>0.13806447494494639</v>
      </c>
      <c r="AF6" s="169">
        <v>0.1373103172168087</v>
      </c>
      <c r="AG6" s="165">
        <f>AD6/AE6</f>
        <v>0.89893104032257898</v>
      </c>
      <c r="AH6" s="157">
        <v>7.0051890289103039E-2</v>
      </c>
      <c r="AI6" s="2">
        <v>2.1113797117020323</v>
      </c>
      <c r="AJ6" s="2">
        <v>2.5483272052131494E-3</v>
      </c>
      <c r="AK6" s="2">
        <v>1.1539326987985637E-2</v>
      </c>
      <c r="AL6" s="2">
        <v>1.1487741163881283E-2</v>
      </c>
      <c r="AM6" s="2">
        <v>4.1584491430842849E-2</v>
      </c>
      <c r="AN6" s="68">
        <v>0</v>
      </c>
      <c r="AO6" s="68">
        <v>3.369556060988965E-4</v>
      </c>
      <c r="AP6" s="197">
        <v>6.2644866253210553E-5</v>
      </c>
      <c r="AQ6" s="151">
        <v>-4.5139260734204933E-3</v>
      </c>
      <c r="AR6" s="151">
        <v>-7.1269336805954943E-3</v>
      </c>
      <c r="AS6" s="35">
        <v>2.4629026906338928E-3</v>
      </c>
      <c r="AT6" s="167">
        <f>AQ6/AR6</f>
        <v>0.63336159359958155</v>
      </c>
      <c r="AU6" s="166">
        <v>2.0594255209594228</v>
      </c>
      <c r="AV6" s="91">
        <v>1.2088644865528269</v>
      </c>
      <c r="AW6" s="89">
        <v>1.6190733744024632</v>
      </c>
      <c r="AX6" s="90">
        <v>6.7682960121688604E-2</v>
      </c>
      <c r="AY6" s="173"/>
      <c r="AZ6" s="186">
        <v>0</v>
      </c>
      <c r="BA6" s="189">
        <v>0.13419853651801641</v>
      </c>
      <c r="BB6" s="92">
        <v>0</v>
      </c>
      <c r="BD6" s="55">
        <v>3.42</v>
      </c>
      <c r="BE6" s="56">
        <f>10^-BD6</f>
        <v>3.8018939632056113E-4</v>
      </c>
      <c r="BF6" s="56">
        <v>3.1622776601683798E-2</v>
      </c>
      <c r="BG6" s="56">
        <f>+BE6*BF6</f>
        <v>1.2022644346174128E-5</v>
      </c>
      <c r="BH6" s="56">
        <v>5.0118723362727197E-7</v>
      </c>
      <c r="BI6" s="56">
        <f t="shared" si="0"/>
        <v>28.840315031266044</v>
      </c>
      <c r="BJ6" s="56">
        <v>5.6234132519034893E-11</v>
      </c>
      <c r="BK6" s="56">
        <f t="shared" si="1"/>
        <v>1.6218100973589288E-9</v>
      </c>
      <c r="BL6" s="175">
        <f>+BI6+2*BK6</f>
        <v>28.840315034509665</v>
      </c>
      <c r="BM6" s="62">
        <f t="shared" si="2"/>
        <v>23.627814299599386</v>
      </c>
      <c r="BN6" s="62">
        <f t="shared" si="3"/>
        <v>16.04442014325334</v>
      </c>
      <c r="BO6" s="37"/>
      <c r="BP6" s="23">
        <f t="shared" si="4"/>
        <v>0.20892961308540389</v>
      </c>
      <c r="BQ6" s="25">
        <f t="shared" si="5"/>
        <v>129.26137519727158</v>
      </c>
      <c r="BR6" s="24">
        <f t="shared" si="6"/>
        <v>15.522682527521889</v>
      </c>
      <c r="BS6" s="24">
        <f t="shared" si="7"/>
        <v>44.38033029698353</v>
      </c>
      <c r="BT6" s="24">
        <f t="shared" si="8"/>
        <v>8.3033173846536528</v>
      </c>
      <c r="BU6" s="24">
        <f t="shared" si="9"/>
        <v>42.876114277136558</v>
      </c>
      <c r="BV6" s="24">
        <f t="shared" si="10"/>
        <v>19.495707505041018</v>
      </c>
      <c r="BW6" s="24">
        <f t="shared" si="11"/>
        <v>45.668162762036026</v>
      </c>
      <c r="BX6" s="23">
        <f t="shared" si="12"/>
        <v>3.5626360733597537</v>
      </c>
      <c r="BY6" s="23">
        <f t="shared" si="13"/>
        <v>1.2999535342397457E-2</v>
      </c>
      <c r="BZ6" s="25">
        <f t="shared" si="14"/>
        <v>80.275484903459301</v>
      </c>
      <c r="CA6" s="26"/>
      <c r="CB6" s="25">
        <f t="shared" si="15"/>
        <v>5.7855299631410162</v>
      </c>
      <c r="CC6" s="27">
        <f t="shared" si="16"/>
        <v>1.4851152618576544</v>
      </c>
      <c r="CD6" s="178">
        <f t="shared" si="17"/>
        <v>1.5463962781854472E-4</v>
      </c>
      <c r="CE6" s="23">
        <f>(10^(-0.51*CD6^0.5))</f>
        <v>0.98550296825410855</v>
      </c>
      <c r="CF6" s="23">
        <f>(10^(-0.51*4*CD6^0.5))</f>
        <v>0.94326071374933174</v>
      </c>
      <c r="CG6" s="51">
        <f>(10^(-0.51*2.3^2*CD6^0.5))</f>
        <v>0.92565784258186301</v>
      </c>
      <c r="CH6" s="178">
        <f t="shared" si="21"/>
        <v>2.0590075385184799E-10</v>
      </c>
      <c r="CI6" s="178">
        <f t="shared" si="22"/>
        <v>6.0963588514399274E-8</v>
      </c>
      <c r="CJ6" s="178">
        <f t="shared" si="23"/>
        <v>7.3209683001072891E-9</v>
      </c>
      <c r="CK6" s="178">
        <f t="shared" si="24"/>
        <v>4.3736947239775019E-8</v>
      </c>
      <c r="CL6" s="178">
        <f t="shared" si="25"/>
        <v>8.1829439289321175E-9</v>
      </c>
      <c r="CM6" s="178">
        <f t="shared" si="26"/>
        <v>2.0221677077924871E-8</v>
      </c>
      <c r="CN6" s="178">
        <f t="shared" si="27"/>
        <v>4.5006109956698254E-8</v>
      </c>
      <c r="CO6" s="178">
        <f t="shared" si="28"/>
        <v>1.9213077614431826E-8</v>
      </c>
      <c r="CP6" s="52">
        <f t="shared" si="29"/>
        <v>2.8422216068696272E-8</v>
      </c>
      <c r="CQ6" s="178">
        <f t="shared" si="30"/>
        <v>7.1982903546606066E-8</v>
      </c>
      <c r="CR6" s="178">
        <f>(CI6*119)</f>
        <v>7.2546670332135136E-6</v>
      </c>
      <c r="CS6" s="178">
        <f>(CJ6*106)</f>
        <v>7.7602263981137268E-7</v>
      </c>
      <c r="CT6" s="178">
        <f>(CK6*50.1)</f>
        <v>2.1912210567127287E-6</v>
      </c>
      <c r="CU6" s="178">
        <f>(CL6*73.5)</f>
        <v>6.0144637877651064E-7</v>
      </c>
      <c r="CV6" s="178">
        <f>(CM6*160)</f>
        <v>3.2354683324679794E-6</v>
      </c>
      <c r="CW6" s="178">
        <f>(CN6*76.3)</f>
        <v>3.4339661896960766E-6</v>
      </c>
      <c r="CX6" s="178">
        <f>(CO6*71.4)</f>
        <v>1.3718137416704324E-6</v>
      </c>
      <c r="CY6" s="52">
        <f>(CP6*44.5)</f>
        <v>1.2647886150569842E-6</v>
      </c>
      <c r="CZ6" s="24">
        <f t="shared" si="31"/>
        <v>1.8936588275895221</v>
      </c>
      <c r="DA6" s="24">
        <f>L6/10</f>
        <v>1.9899999999999998</v>
      </c>
      <c r="DB6" s="24">
        <f>(DA6-CZ6)</f>
        <v>9.6341172410477682E-2</v>
      </c>
      <c r="DC6" s="27">
        <f>(DB6*100/DA6)</f>
        <v>4.8412649452501357</v>
      </c>
    </row>
    <row r="7" spans="1:108" ht="15.75" x14ac:dyDescent="0.25">
      <c r="B7" s="30">
        <v>3</v>
      </c>
      <c r="C7" s="29" t="s">
        <v>173</v>
      </c>
      <c r="D7" s="29" t="s">
        <v>0</v>
      </c>
      <c r="E7" s="46" t="s">
        <v>175</v>
      </c>
      <c r="F7" s="34">
        <v>1000</v>
      </c>
      <c r="J7" s="73">
        <v>7.53</v>
      </c>
      <c r="K7" s="193">
        <v>142.38948626045399</v>
      </c>
      <c r="L7" s="80">
        <v>91.9</v>
      </c>
      <c r="M7" s="84">
        <v>21.1</v>
      </c>
      <c r="N7" s="68">
        <v>0.23100000000000001</v>
      </c>
      <c r="O7" s="68">
        <v>0.06</v>
      </c>
      <c r="P7" s="163">
        <v>4.6470000000000002</v>
      </c>
      <c r="Q7" s="164">
        <v>9.3007893408476328</v>
      </c>
      <c r="R7" s="142">
        <v>1.8350339762777772</v>
      </c>
      <c r="S7" s="142">
        <v>12.312395482003362</v>
      </c>
      <c r="T7" s="158">
        <v>1.2256838518982534</v>
      </c>
      <c r="U7" s="157">
        <v>42.556338028169016</v>
      </c>
      <c r="V7" s="91">
        <v>18.229026770525561</v>
      </c>
      <c r="W7" s="2">
        <v>0.4341257417452401</v>
      </c>
      <c r="X7" s="68">
        <v>5.6542702241129623E-2</v>
      </c>
      <c r="Y7" s="68">
        <v>5.2402983665376261E-2</v>
      </c>
      <c r="Z7" s="68">
        <v>0.15784643621902725</v>
      </c>
      <c r="AA7" s="68">
        <v>3.5583706220921441E-4</v>
      </c>
      <c r="AB7" s="68">
        <v>1.0108668182966893E-3</v>
      </c>
      <c r="AC7" s="68">
        <v>1.6381632525214559E-2</v>
      </c>
      <c r="AD7" s="35">
        <v>0.87238310013300913</v>
      </c>
      <c r="AE7" s="35">
        <v>0.96278395831746832</v>
      </c>
      <c r="AF7" s="169">
        <v>0.94710068121203417</v>
      </c>
      <c r="AG7" s="165">
        <f t="shared" si="34"/>
        <v>0.90610473159270233</v>
      </c>
      <c r="AH7" s="157">
        <v>3.6186063750926611</v>
      </c>
      <c r="AI7" s="2">
        <v>2.2494404154355809</v>
      </c>
      <c r="AJ7" s="2">
        <v>0.17274017983909135</v>
      </c>
      <c r="AK7" s="2">
        <v>1.5193447200847757E-2</v>
      </c>
      <c r="AL7" s="2">
        <v>2.4391779183583547E-2</v>
      </c>
      <c r="AM7" s="2">
        <v>6.0083474751181025E-2</v>
      </c>
      <c r="AN7" s="68">
        <v>8.8959265552303603E-5</v>
      </c>
      <c r="AO7" s="68">
        <v>4.2119450762362061E-4</v>
      </c>
      <c r="AP7" s="68">
        <v>2.3178600513687904E-3</v>
      </c>
      <c r="AQ7" s="35">
        <v>0.11192774963050163</v>
      </c>
      <c r="AR7" s="35">
        <v>0.1247051628935533</v>
      </c>
      <c r="AS7" s="35">
        <v>0.12814700816041444</v>
      </c>
      <c r="AT7" s="165">
        <f t="shared" si="35"/>
        <v>0.89753901950348036</v>
      </c>
      <c r="AU7" s="166">
        <v>6.7702870251819514</v>
      </c>
      <c r="AV7" s="91">
        <v>1.2459988572831171</v>
      </c>
      <c r="AW7" s="89">
        <v>16.536657463256624</v>
      </c>
      <c r="AX7" s="90">
        <v>8.7030625812438964E-2</v>
      </c>
      <c r="AY7" s="173">
        <v>7.0000000000000007E-2</v>
      </c>
      <c r="AZ7" s="174">
        <v>38.619999999999997</v>
      </c>
      <c r="BA7" s="33">
        <v>19.021676101063093</v>
      </c>
      <c r="BB7" s="92">
        <f t="shared" si="36"/>
        <v>19.598323898936904</v>
      </c>
      <c r="BD7" s="55">
        <v>3.42</v>
      </c>
      <c r="BE7" s="56">
        <f t="shared" si="37"/>
        <v>3.8018939632056113E-4</v>
      </c>
      <c r="BF7" s="56">
        <v>3.1622776601683798E-2</v>
      </c>
      <c r="BG7" s="56">
        <f t="shared" si="38"/>
        <v>1.2022644346174128E-5</v>
      </c>
      <c r="BH7" s="56">
        <v>5.0118723362727197E-7</v>
      </c>
      <c r="BI7" s="56">
        <f t="shared" si="0"/>
        <v>204.1737944669533</v>
      </c>
      <c r="BJ7" s="56">
        <v>5.6234132519034893E-11</v>
      </c>
      <c r="BK7" s="56">
        <f t="shared" si="1"/>
        <v>1.1481536214968847E-8</v>
      </c>
      <c r="BL7" s="175">
        <f t="shared" si="39"/>
        <v>204.17379448991636</v>
      </c>
      <c r="BM7" s="62">
        <f t="shared" si="2"/>
        <v>25.30793431239659</v>
      </c>
      <c r="BN7" s="62">
        <f t="shared" si="3"/>
        <v>16.758467162440613</v>
      </c>
      <c r="BO7" s="37"/>
      <c r="BP7" s="23">
        <f t="shared" si="4"/>
        <v>2.9512092266663778E-2</v>
      </c>
      <c r="BQ7" s="25">
        <f t="shared" si="5"/>
        <v>464.1344049527238</v>
      </c>
      <c r="BR7" s="25">
        <f t="shared" si="6"/>
        <v>150.9570562913604</v>
      </c>
      <c r="BS7" s="25">
        <f t="shared" si="7"/>
        <v>535.55439243163823</v>
      </c>
      <c r="BT7" s="24">
        <f t="shared" si="8"/>
        <v>31.34580972580056</v>
      </c>
      <c r="BU7" s="25">
        <f t="shared" si="9"/>
        <v>140.95367723979746</v>
      </c>
      <c r="BV7" s="24">
        <f t="shared" si="10"/>
        <v>20.094584251107008</v>
      </c>
      <c r="BW7" s="25">
        <f t="shared" si="11"/>
        <v>466.43887578643898</v>
      </c>
      <c r="BX7" s="23">
        <f t="shared" si="12"/>
        <v>4.5810414681776477</v>
      </c>
      <c r="BY7" s="23">
        <f t="shared" si="13"/>
        <v>1.8425905167319754</v>
      </c>
      <c r="BZ7" s="25">
        <f t="shared" si="14"/>
        <v>110.79899835272064</v>
      </c>
      <c r="CA7" s="26"/>
      <c r="CB7" s="25">
        <f t="shared" si="15"/>
        <v>437.311407878816</v>
      </c>
      <c r="CC7" s="27">
        <f t="shared" si="16"/>
        <v>22.697066730719438</v>
      </c>
      <c r="CD7" s="178">
        <f t="shared" si="17"/>
        <v>9.0704467711965546E-4</v>
      </c>
      <c r="CE7" s="23">
        <f t="shared" si="40"/>
        <v>0.96525094830011626</v>
      </c>
      <c r="CF7" s="23">
        <f t="shared" si="41"/>
        <v>0.86808239336644188</v>
      </c>
      <c r="CG7" s="51">
        <f t="shared" si="42"/>
        <v>0.82936719569948192</v>
      </c>
      <c r="CH7" s="178">
        <f t="shared" si="21"/>
        <v>2.8486575046717743E-11</v>
      </c>
      <c r="CI7" s="178">
        <f t="shared" si="22"/>
        <v>2.0145345254753493E-7</v>
      </c>
      <c r="CJ7" s="178">
        <f t="shared" si="23"/>
        <v>6.5521581360478427E-8</v>
      </c>
      <c r="CK7" s="178">
        <f t="shared" si="24"/>
        <v>5.1694438516093154E-7</v>
      </c>
      <c r="CL7" s="178">
        <f t="shared" si="25"/>
        <v>3.0256572563064E-8</v>
      </c>
      <c r="CM7" s="178">
        <f t="shared" si="26"/>
        <v>6.1179702746062173E-8</v>
      </c>
      <c r="CN7" s="178">
        <f t="shared" si="27"/>
        <v>4.5023056717690042E-7</v>
      </c>
      <c r="CO7" s="178">
        <f t="shared" si="28"/>
        <v>1.9396316504077624E-8</v>
      </c>
      <c r="CP7" s="52">
        <f t="shared" si="29"/>
        <v>1.9707894872725972E-7</v>
      </c>
      <c r="CQ7" s="178">
        <f t="shared" si="30"/>
        <v>9.9589066363325238E-9</v>
      </c>
      <c r="CR7" s="178">
        <f t="shared" si="43"/>
        <v>2.3972960853156656E-5</v>
      </c>
      <c r="CS7" s="178">
        <f t="shared" si="44"/>
        <v>6.9452876242107132E-6</v>
      </c>
      <c r="CT7" s="178">
        <f t="shared" si="45"/>
        <v>2.589891369656267E-5</v>
      </c>
      <c r="CU7" s="178">
        <f t="shared" si="46"/>
        <v>2.223858083385204E-6</v>
      </c>
      <c r="CV7" s="178">
        <f t="shared" si="47"/>
        <v>9.7887524393699477E-6</v>
      </c>
      <c r="CW7" s="178">
        <f t="shared" si="48"/>
        <v>3.4352592275597503E-5</v>
      </c>
      <c r="CX7" s="178">
        <f t="shared" si="49"/>
        <v>1.3848969983911424E-6</v>
      </c>
      <c r="CY7" s="52">
        <f t="shared" si="50"/>
        <v>8.7700132183630571E-6</v>
      </c>
      <c r="CZ7" s="24">
        <f t="shared" si="31"/>
        <v>10.457722087731018</v>
      </c>
      <c r="DA7" s="24">
        <f t="shared" si="51"/>
        <v>9.1900000000000013</v>
      </c>
      <c r="DB7" s="24">
        <f t="shared" si="52"/>
        <v>-1.2677220877310162</v>
      </c>
      <c r="DC7" s="27">
        <f t="shared" si="53"/>
        <v>-13.794582021012145</v>
      </c>
    </row>
    <row r="8" spans="1:108" ht="15.75" x14ac:dyDescent="0.25">
      <c r="B8" s="30">
        <v>4</v>
      </c>
      <c r="C8" s="29" t="s">
        <v>174</v>
      </c>
      <c r="D8" s="29" t="s">
        <v>22</v>
      </c>
      <c r="E8" s="46" t="s">
        <v>176</v>
      </c>
      <c r="F8" s="34">
        <v>1000</v>
      </c>
      <c r="J8" s="73">
        <v>7.38</v>
      </c>
      <c r="K8" s="193">
        <v>916.61165241598724</v>
      </c>
      <c r="L8" s="194">
        <v>219</v>
      </c>
      <c r="M8" s="84">
        <v>19.399999999999999</v>
      </c>
      <c r="N8" s="68">
        <v>0.22800000000000001</v>
      </c>
      <c r="O8" s="68">
        <v>0.28000000000000003</v>
      </c>
      <c r="P8" s="163">
        <v>6.9249999999999998</v>
      </c>
      <c r="Q8" s="164">
        <v>25.035275101039684</v>
      </c>
      <c r="R8" s="142">
        <v>5.512700144520859</v>
      </c>
      <c r="S8" s="142">
        <v>21.030284120974741</v>
      </c>
      <c r="T8" s="158">
        <v>4.8838486549843863</v>
      </c>
      <c r="U8" s="157">
        <v>5.7679762787249818</v>
      </c>
      <c r="V8" s="91">
        <v>4.1287492165816095</v>
      </c>
      <c r="W8" s="2">
        <v>1.0564636499326512</v>
      </c>
      <c r="X8" s="68">
        <v>2.9425283819363376E-2</v>
      </c>
      <c r="Y8" s="68">
        <v>4.4849400434331041E-2</v>
      </c>
      <c r="Z8" s="68">
        <v>1.4683389415723464E-2</v>
      </c>
      <c r="AA8" s="68">
        <v>1.7791853110460721E-4</v>
      </c>
      <c r="AB8" s="68">
        <v>2.5271670457417233E-4</v>
      </c>
      <c r="AC8" s="68">
        <v>1.9106684207229217E-3</v>
      </c>
      <c r="AD8" s="35">
        <v>0.11222329086456113</v>
      </c>
      <c r="AE8" s="35">
        <v>0.12190829090896689</v>
      </c>
      <c r="AF8" s="169">
        <v>0.1220248589586642</v>
      </c>
      <c r="AG8" s="165">
        <f t="shared" si="34"/>
        <v>0.92055503385214477</v>
      </c>
      <c r="AH8" s="157">
        <v>1.1901408450704225</v>
      </c>
      <c r="AI8" s="2">
        <v>2.2585728355269046</v>
      </c>
      <c r="AJ8" s="2">
        <v>4.4959772834831997E-2</v>
      </c>
      <c r="AK8" s="2">
        <v>2.269400974303842E-2</v>
      </c>
      <c r="AL8" s="2">
        <v>4.2016806722689072E-2</v>
      </c>
      <c r="AM8" s="2">
        <v>1.4371111009188337E-2</v>
      </c>
      <c r="AN8" s="68">
        <v>0</v>
      </c>
      <c r="AO8" s="68">
        <v>2.5271670457417233E-4</v>
      </c>
      <c r="AP8" s="68">
        <v>2.6937292488880536E-3</v>
      </c>
      <c r="AQ8" s="35">
        <v>0.12860522369738112</v>
      </c>
      <c r="AR8" s="35">
        <v>0.15220142876984524</v>
      </c>
      <c r="AS8" s="35">
        <v>0.15266115798308819</v>
      </c>
      <c r="AT8" s="165">
        <f t="shared" si="35"/>
        <v>0.8449672564628441</v>
      </c>
      <c r="AU8" s="166">
        <v>13.423475196029724</v>
      </c>
      <c r="AV8" s="91">
        <v>7.0080877433267297</v>
      </c>
      <c r="AW8" s="89">
        <v>34.878012449587345</v>
      </c>
      <c r="AX8" s="90">
        <v>0.24589216917498447</v>
      </c>
      <c r="AY8" s="173"/>
      <c r="AZ8" s="174">
        <v>18.62</v>
      </c>
      <c r="BA8" s="188">
        <v>5.3088499240646136</v>
      </c>
      <c r="BB8" s="92">
        <f t="shared" si="36"/>
        <v>13.311150075935387</v>
      </c>
      <c r="BD8" s="55">
        <v>3.42</v>
      </c>
      <c r="BE8" s="56">
        <f t="shared" si="37"/>
        <v>3.8018939632056113E-4</v>
      </c>
      <c r="BF8" s="56">
        <v>3.1622776601683798E-2</v>
      </c>
      <c r="BG8" s="56">
        <f t="shared" si="38"/>
        <v>1.2022644346174128E-5</v>
      </c>
      <c r="BH8" s="56">
        <v>5.0118723362727197E-7</v>
      </c>
      <c r="BI8" s="56">
        <f t="shared" si="0"/>
        <v>144.54397707459273</v>
      </c>
      <c r="BJ8" s="56">
        <v>5.6234132519034893E-11</v>
      </c>
      <c r="BK8" s="56">
        <f t="shared" si="1"/>
        <v>8.1283051616409878E-9</v>
      </c>
      <c r="BL8" s="175">
        <f t="shared" si="39"/>
        <v>144.54397709084935</v>
      </c>
      <c r="BM8" s="62">
        <f t="shared" si="2"/>
        <v>37.616236566537999</v>
      </c>
      <c r="BN8" s="62">
        <f t="shared" si="3"/>
        <v>24.973614181170916</v>
      </c>
      <c r="BO8" s="37"/>
      <c r="BP8" s="23">
        <f t="shared" si="4"/>
        <v>4.1686938347033513E-2</v>
      </c>
      <c r="BQ8" s="25">
        <f t="shared" si="5"/>
        <v>1249.3275662977035</v>
      </c>
      <c r="BR8" s="25">
        <f t="shared" si="6"/>
        <v>453.49622774933027</v>
      </c>
      <c r="BS8" s="25">
        <f t="shared" si="7"/>
        <v>914.75789999890128</v>
      </c>
      <c r="BT8" s="25">
        <f t="shared" si="8"/>
        <v>124.90022645860535</v>
      </c>
      <c r="BU8" s="25">
        <f t="shared" si="9"/>
        <v>279.4694203037501</v>
      </c>
      <c r="BV8" s="25">
        <f t="shared" si="10"/>
        <v>113.02145967011192</v>
      </c>
      <c r="BW8" s="25">
        <f t="shared" si="11"/>
        <v>983.78169547252264</v>
      </c>
      <c r="BX8" s="24">
        <f t="shared" si="12"/>
        <v>12.943055541371958</v>
      </c>
      <c r="BY8" s="23">
        <f t="shared" si="13"/>
        <v>0.51425733846282995</v>
      </c>
      <c r="BZ8" s="25">
        <f t="shared" si="14"/>
        <v>885.03333935433432</v>
      </c>
      <c r="CA8" s="26"/>
      <c r="CB8" s="25">
        <f t="shared" si="15"/>
        <v>467.76037976233329</v>
      </c>
      <c r="CC8" s="27">
        <f t="shared" si="16"/>
        <v>9.32297465011934</v>
      </c>
      <c r="CD8" s="178">
        <f t="shared" si="17"/>
        <v>2.0658696192153219E-3</v>
      </c>
      <c r="CE8" s="23">
        <f t="shared" si="40"/>
        <v>0.94802450292091756</v>
      </c>
      <c r="CF8" s="23">
        <f t="shared" si="41"/>
        <v>0.80775238600407884</v>
      </c>
      <c r="CG8" s="51">
        <f t="shared" si="42"/>
        <v>0.75400718622349427</v>
      </c>
      <c r="CH8" s="178">
        <f t="shared" si="21"/>
        <v>3.9520239004741385E-11</v>
      </c>
      <c r="CI8" s="178">
        <f t="shared" si="22"/>
        <v>5.0457366128881956E-7</v>
      </c>
      <c r="CJ8" s="178">
        <f t="shared" si="23"/>
        <v>1.8315633000418536E-7</v>
      </c>
      <c r="CK8" s="178">
        <f t="shared" si="24"/>
        <v>8.6721290343944084E-7</v>
      </c>
      <c r="CL8" s="178">
        <f t="shared" si="25"/>
        <v>1.1840847510312937E-7</v>
      </c>
      <c r="CM8" s="178">
        <f t="shared" si="26"/>
        <v>1.1287104553276546E-7</v>
      </c>
      <c r="CN8" s="178">
        <f t="shared" si="27"/>
        <v>9.3264915283303581E-7</v>
      </c>
      <c r="CO8" s="178">
        <f t="shared" si="28"/>
        <v>1.0714711312315439E-7</v>
      </c>
      <c r="CP8" s="52">
        <f t="shared" si="29"/>
        <v>1.3703123201635327E-7</v>
      </c>
      <c r="CQ8" s="178">
        <f t="shared" si="30"/>
        <v>1.381627555605759E-8</v>
      </c>
      <c r="CR8" s="178">
        <f t="shared" si="43"/>
        <v>6.004426569336953E-5</v>
      </c>
      <c r="CS8" s="178">
        <f t="shared" si="44"/>
        <v>1.9414570980443649E-5</v>
      </c>
      <c r="CT8" s="178">
        <f t="shared" si="45"/>
        <v>4.3447366462315991E-5</v>
      </c>
      <c r="CU8" s="178">
        <f t="shared" si="46"/>
        <v>8.7030229200800095E-6</v>
      </c>
      <c r="CV8" s="178">
        <f t="shared" si="47"/>
        <v>1.8059367285242473E-5</v>
      </c>
      <c r="CW8" s="178">
        <f t="shared" si="48"/>
        <v>7.1161130361160633E-5</v>
      </c>
      <c r="CX8" s="178">
        <f t="shared" si="49"/>
        <v>7.6503038769932244E-6</v>
      </c>
      <c r="CY8" s="52">
        <f t="shared" si="50"/>
        <v>6.0978898247277208E-6</v>
      </c>
      <c r="CZ8" s="24">
        <f t="shared" si="31"/>
        <v>22.84938438551616</v>
      </c>
      <c r="DA8" s="24">
        <f t="shared" si="51"/>
        <v>21.9</v>
      </c>
      <c r="DB8" s="24">
        <f t="shared" si="52"/>
        <v>-0.94938438551616144</v>
      </c>
      <c r="DC8" s="27">
        <f t="shared" si="53"/>
        <v>-4.3350885183386367</v>
      </c>
    </row>
    <row r="9" spans="1:108" ht="15.75" x14ac:dyDescent="0.25">
      <c r="B9" s="30">
        <v>5</v>
      </c>
      <c r="C9" s="29" t="s">
        <v>177</v>
      </c>
      <c r="D9" s="29" t="s">
        <v>22</v>
      </c>
      <c r="E9" s="46" t="s">
        <v>178</v>
      </c>
      <c r="F9" s="34">
        <v>1000</v>
      </c>
      <c r="J9" s="73">
        <v>7.45</v>
      </c>
      <c r="K9" s="193">
        <v>742.28915662650593</v>
      </c>
      <c r="L9" s="194">
        <v>198.8</v>
      </c>
      <c r="M9" s="84">
        <v>18.3</v>
      </c>
      <c r="N9" s="68">
        <v>0.38</v>
      </c>
      <c r="O9" s="68">
        <v>2.3E-2</v>
      </c>
      <c r="P9" s="163">
        <v>6.9669999999999996</v>
      </c>
      <c r="Q9" s="164">
        <v>23.281723673743723</v>
      </c>
      <c r="R9" s="142">
        <v>3.573648037549602</v>
      </c>
      <c r="S9" s="142">
        <v>19.613084174847604</v>
      </c>
      <c r="T9" s="158">
        <v>3.0335469301519034</v>
      </c>
      <c r="U9" s="157">
        <v>3.3947368421052633</v>
      </c>
      <c r="V9" s="91">
        <v>2.7800161160354553</v>
      </c>
      <c r="W9" s="2">
        <v>0.20459426990425569</v>
      </c>
      <c r="X9" s="68">
        <v>3.0194572285229086E-2</v>
      </c>
      <c r="Y9" s="68">
        <v>4.2174173040002517E-2</v>
      </c>
      <c r="Z9" s="68">
        <v>1.6977669011930256E-2</v>
      </c>
      <c r="AA9" s="68">
        <v>8.8959265552303603E-5</v>
      </c>
      <c r="AB9" s="68">
        <v>2.5271670457417233E-4</v>
      </c>
      <c r="AC9" s="68">
        <v>1.7227338219632901E-3</v>
      </c>
      <c r="AD9" s="35">
        <v>0.10249048075042291</v>
      </c>
      <c r="AE9" s="35">
        <v>0.11256744122193867</v>
      </c>
      <c r="AF9" s="169">
        <v>0.11379466210644078</v>
      </c>
      <c r="AG9" s="165">
        <f t="shared" si="34"/>
        <v>0.9104806828499552</v>
      </c>
      <c r="AH9" s="157">
        <v>0.70570793180133429</v>
      </c>
      <c r="AI9" s="2">
        <v>2.1196167964902859</v>
      </c>
      <c r="AJ9" s="2">
        <v>0.12869052386326404</v>
      </c>
      <c r="AK9" s="2">
        <v>2.6732774188833391E-2</v>
      </c>
      <c r="AL9" s="2">
        <v>3.8240015107166465E-2</v>
      </c>
      <c r="AM9" s="2">
        <v>2.4308581387882399E-2</v>
      </c>
      <c r="AN9" s="68">
        <v>0</v>
      </c>
      <c r="AO9" s="68">
        <v>2.5271670457417233E-4</v>
      </c>
      <c r="AP9" s="196">
        <v>1.5661216563302638E-4</v>
      </c>
      <c r="AQ9" s="35">
        <v>2.7015002681989421E-3</v>
      </c>
      <c r="AR9" s="151">
        <v>0</v>
      </c>
      <c r="AS9" s="35">
        <v>7.5199878793610992E-3</v>
      </c>
      <c r="AT9" s="167" t="e">
        <f>AQ9/AR9</f>
        <v>#DIV/0!</v>
      </c>
      <c r="AU9" s="166">
        <v>17.810515953086842</v>
      </c>
      <c r="AV9" s="91">
        <v>4.2459928587512525</v>
      </c>
      <c r="AW9" s="89">
        <v>31.254758924958139</v>
      </c>
      <c r="AX9" s="90">
        <v>0.15062531946865676</v>
      </c>
      <c r="AY9" s="173"/>
      <c r="AZ9" s="186">
        <v>4.82</v>
      </c>
      <c r="BA9" s="188">
        <v>1.4278613834046656</v>
      </c>
      <c r="BB9" s="92">
        <f t="shared" si="36"/>
        <v>3.3921386165953349</v>
      </c>
      <c r="BD9" s="55">
        <v>3.42</v>
      </c>
      <c r="BE9" s="56">
        <f t="shared" si="37"/>
        <v>3.8018939632056113E-4</v>
      </c>
      <c r="BF9" s="56">
        <v>3.1622776601683798E-2</v>
      </c>
      <c r="BG9" s="56">
        <f t="shared" si="38"/>
        <v>1.2022644346174128E-5</v>
      </c>
      <c r="BH9" s="56">
        <v>5.0118723362727197E-7</v>
      </c>
      <c r="BI9" s="56">
        <f t="shared" si="0"/>
        <v>169.82436524617489</v>
      </c>
      <c r="BJ9" s="56">
        <v>5.6234132519034893E-11</v>
      </c>
      <c r="BK9" s="56">
        <f t="shared" si="1"/>
        <v>9.5499258602143817E-9</v>
      </c>
      <c r="BL9" s="175">
        <f t="shared" si="39"/>
        <v>169.82436526527474</v>
      </c>
      <c r="BM9" s="62">
        <f t="shared" si="2"/>
        <v>37.892939998085922</v>
      </c>
      <c r="BN9" s="62">
        <f t="shared" si="3"/>
        <v>25.125078700392457</v>
      </c>
      <c r="BO9" s="37"/>
      <c r="BP9" s="23">
        <f t="shared" si="4"/>
        <v>3.5481338923357426E-2</v>
      </c>
      <c r="BQ9" s="25">
        <f t="shared" si="5"/>
        <v>1161.8206334519548</v>
      </c>
      <c r="BR9" s="25">
        <f t="shared" si="6"/>
        <v>293.9822340860153</v>
      </c>
      <c r="BS9" s="25">
        <f t="shared" si="7"/>
        <v>853.1137092147718</v>
      </c>
      <c r="BT9" s="24">
        <f t="shared" si="8"/>
        <v>77.580352159784766</v>
      </c>
      <c r="BU9" s="25">
        <f t="shared" si="9"/>
        <v>370.80521221449959</v>
      </c>
      <c r="BV9" s="24">
        <f t="shared" si="10"/>
        <v>68.476355922041535</v>
      </c>
      <c r="BW9" s="25">
        <f t="shared" si="11"/>
        <v>881.5829104718398</v>
      </c>
      <c r="BX9" s="23">
        <f t="shared" si="12"/>
        <v>7.9284829702419604</v>
      </c>
      <c r="BY9" s="23">
        <f t="shared" si="13"/>
        <v>0.13831398612250556</v>
      </c>
      <c r="BZ9" s="25">
        <f t="shared" si="14"/>
        <v>710.70463796542924</v>
      </c>
      <c r="CA9" s="26"/>
      <c r="CB9" s="25">
        <f t="shared" si="15"/>
        <v>346.89649672127553</v>
      </c>
      <c r="CC9" s="27">
        <f t="shared" si="16"/>
        <v>7.8373995597369088</v>
      </c>
      <c r="CD9" s="178">
        <f t="shared" si="17"/>
        <v>1.8576626859150363E-3</v>
      </c>
      <c r="CE9" s="23">
        <f t="shared" si="40"/>
        <v>0.95064570036489293</v>
      </c>
      <c r="CF9" s="23">
        <f t="shared" si="41"/>
        <v>0.81672293809490137</v>
      </c>
      <c r="CG9" s="51">
        <f t="shared" si="42"/>
        <v>0.76510116110092452</v>
      </c>
      <c r="CH9" s="178">
        <f t="shared" si="21"/>
        <v>3.3730182290679259E-11</v>
      </c>
      <c r="CI9" s="178">
        <f t="shared" si="22"/>
        <v>4.7444278064608002E-7</v>
      </c>
      <c r="CJ9" s="178">
        <f t="shared" si="23"/>
        <v>1.2005101698521674E-7</v>
      </c>
      <c r="CK9" s="178">
        <f t="shared" si="24"/>
        <v>8.110088795873684E-7</v>
      </c>
      <c r="CL9" s="178">
        <f t="shared" si="25"/>
        <v>7.3751428213493636E-8</v>
      </c>
      <c r="CM9" s="178">
        <f t="shared" si="26"/>
        <v>1.5142256119036477E-7</v>
      </c>
      <c r="CN9" s="178">
        <f t="shared" si="27"/>
        <v>8.3807300335522283E-7</v>
      </c>
      <c r="CO9" s="178">
        <f t="shared" si="28"/>
        <v>6.5096753333944865E-8</v>
      </c>
      <c r="CP9" s="52">
        <f t="shared" si="29"/>
        <v>1.6144280263847334E-7</v>
      </c>
      <c r="CQ9" s="178">
        <f t="shared" si="30"/>
        <v>1.1792071728821469E-8</v>
      </c>
      <c r="CR9" s="178">
        <f t="shared" si="43"/>
        <v>5.6458690896883521E-5</v>
      </c>
      <c r="CS9" s="178">
        <f t="shared" si="44"/>
        <v>1.2725407800432973E-5</v>
      </c>
      <c r="CT9" s="178">
        <f t="shared" si="45"/>
        <v>4.0631544867327158E-5</v>
      </c>
      <c r="CU9" s="178">
        <f t="shared" si="46"/>
        <v>5.4207299736917826E-6</v>
      </c>
      <c r="CV9" s="178">
        <f t="shared" si="47"/>
        <v>2.4227609790458363E-5</v>
      </c>
      <c r="CW9" s="178">
        <f t="shared" si="48"/>
        <v>6.3944970156003502E-5</v>
      </c>
      <c r="CX9" s="178">
        <f t="shared" si="49"/>
        <v>4.6479081880436633E-6</v>
      </c>
      <c r="CY9" s="52">
        <f t="shared" si="50"/>
        <v>7.1842047174120636E-6</v>
      </c>
      <c r="CZ9" s="24">
        <f t="shared" si="31"/>
        <v>20.806865374456979</v>
      </c>
      <c r="DA9" s="24">
        <f t="shared" si="51"/>
        <v>19.880000000000003</v>
      </c>
      <c r="DB9" s="24">
        <f t="shared" si="52"/>
        <v>-0.92686537445697681</v>
      </c>
      <c r="DC9" s="27">
        <f t="shared" si="53"/>
        <v>-4.6623006763429409</v>
      </c>
    </row>
    <row r="10" spans="1:108" ht="15.75" x14ac:dyDescent="0.25">
      <c r="B10" s="30">
        <v>6</v>
      </c>
      <c r="C10" s="29" t="s">
        <v>179</v>
      </c>
      <c r="D10" s="29" t="s">
        <v>22</v>
      </c>
      <c r="E10" s="46" t="s">
        <v>180</v>
      </c>
      <c r="F10" s="34">
        <v>1000</v>
      </c>
      <c r="J10" s="73">
        <v>7.4</v>
      </c>
      <c r="K10" s="193">
        <v>1074.1940625622635</v>
      </c>
      <c r="L10" s="194">
        <v>252</v>
      </c>
      <c r="M10" s="84">
        <v>20.6</v>
      </c>
      <c r="N10" s="68">
        <v>0.13700000000000001</v>
      </c>
      <c r="O10" s="68">
        <v>0</v>
      </c>
      <c r="P10" s="163">
        <v>5.3949999999999996</v>
      </c>
      <c r="Q10" s="164">
        <v>28.177924713367048</v>
      </c>
      <c r="R10" s="142">
        <v>3.7610949525191009</v>
      </c>
      <c r="S10" s="142">
        <v>27.074719368361912</v>
      </c>
      <c r="T10" s="158">
        <v>3.9643325280655914</v>
      </c>
      <c r="U10" s="157">
        <v>1.8206078576723497</v>
      </c>
      <c r="V10" s="91">
        <v>2.0707314889426089</v>
      </c>
      <c r="W10" s="2">
        <v>0.7322800247551785</v>
      </c>
      <c r="X10" s="68">
        <v>2.5386519373568405E-2</v>
      </c>
      <c r="Y10" s="68">
        <v>3.1158530828061561E-2</v>
      </c>
      <c r="Z10" s="68">
        <v>2.126032425818293E-2</v>
      </c>
      <c r="AA10" s="68">
        <v>8.8959265552303603E-5</v>
      </c>
      <c r="AB10" s="68">
        <v>2.5271670457417233E-4</v>
      </c>
      <c r="AC10" s="68">
        <v>9.3967299379815836E-4</v>
      </c>
      <c r="AD10" s="35">
        <v>6.3078067659013776E-2</v>
      </c>
      <c r="AE10" s="35">
        <v>6.7293132457088983E-2</v>
      </c>
      <c r="AF10" s="169">
        <v>6.865002707351732E-2</v>
      </c>
      <c r="AG10" s="165">
        <f t="shared" si="34"/>
        <v>0.9373626305661571</v>
      </c>
      <c r="AH10" s="157">
        <v>0.20978502594514456</v>
      </c>
      <c r="AI10" s="2">
        <v>2.3840988450174589</v>
      </c>
      <c r="AJ10" s="2">
        <v>0.50329462302959693</v>
      </c>
      <c r="AK10" s="2">
        <v>2.4809553024169123E-2</v>
      </c>
      <c r="AL10" s="2">
        <v>2.9899600289554022E-2</v>
      </c>
      <c r="AM10" s="2">
        <v>4.9381583574125879E-2</v>
      </c>
      <c r="AN10" s="68">
        <v>0</v>
      </c>
      <c r="AO10" s="68">
        <v>6.7391121219779299E-4</v>
      </c>
      <c r="AP10" s="196">
        <v>1.8793459875963165E-4</v>
      </c>
      <c r="AQ10" s="35">
        <v>2.2806003982711394E-3</v>
      </c>
      <c r="AR10" s="151">
        <v>0</v>
      </c>
      <c r="AS10" s="35">
        <v>9.3196321616064812E-3</v>
      </c>
      <c r="AT10" s="167" t="e">
        <f t="shared" si="35"/>
        <v>#DIV/0!</v>
      </c>
      <c r="AU10" s="166">
        <v>21.297070438287882</v>
      </c>
      <c r="AV10" s="91">
        <v>1.0257998756515128</v>
      </c>
      <c r="AW10" s="89">
        <v>41.935394225127823</v>
      </c>
      <c r="AX10" s="90">
        <v>0.13893554180136009</v>
      </c>
      <c r="AY10" s="173"/>
      <c r="AZ10" s="174">
        <v>17.71</v>
      </c>
      <c r="BA10" s="188">
        <v>7.1199779097059226</v>
      </c>
      <c r="BB10" s="92">
        <f t="shared" si="36"/>
        <v>10.590022090294077</v>
      </c>
      <c r="BD10" s="55">
        <v>3.42</v>
      </c>
      <c r="BE10" s="56">
        <f t="shared" si="37"/>
        <v>3.8018939632056113E-4</v>
      </c>
      <c r="BF10" s="56">
        <v>3.1622776601683798E-2</v>
      </c>
      <c r="BG10" s="56">
        <f t="shared" si="38"/>
        <v>1.2022644346174128E-5</v>
      </c>
      <c r="BH10" s="56">
        <v>5.0118723362727197E-7</v>
      </c>
      <c r="BI10" s="56">
        <f t="shared" si="0"/>
        <v>151.3561248436213</v>
      </c>
      <c r="BJ10" s="56">
        <v>5.6234132519034893E-11</v>
      </c>
      <c r="BK10" s="56">
        <f t="shared" si="1"/>
        <v>8.5113803820237901E-9</v>
      </c>
      <c r="BL10" s="175">
        <f t="shared" si="39"/>
        <v>151.35612486064406</v>
      </c>
      <c r="BM10" s="62">
        <f t="shared" si="2"/>
        <v>29.316482083177629</v>
      </c>
      <c r="BN10" s="62">
        <f t="shared" si="3"/>
        <v>19.455978123814742</v>
      </c>
      <c r="BO10" s="37"/>
      <c r="BP10" s="23">
        <f t="shared" si="4"/>
        <v>3.9810717055349568E-2</v>
      </c>
      <c r="BQ10" s="25">
        <f t="shared" si="5"/>
        <v>1406.1542349102774</v>
      </c>
      <c r="BR10" s="25">
        <f t="shared" si="6"/>
        <v>309.40234884165022</v>
      </c>
      <c r="BS10" s="25">
        <f t="shared" si="7"/>
        <v>1177.6737437304007</v>
      </c>
      <c r="BT10" s="25">
        <f t="shared" si="8"/>
        <v>101.38439282045911</v>
      </c>
      <c r="BU10" s="25">
        <f t="shared" si="9"/>
        <v>443.39337188307553</v>
      </c>
      <c r="BV10" s="24">
        <f t="shared" si="10"/>
        <v>16.543371533261933</v>
      </c>
      <c r="BW10" s="25">
        <f t="shared" si="11"/>
        <v>1182.8447303508256</v>
      </c>
      <c r="BX10" s="23">
        <f t="shared" si="12"/>
        <v>7.3131667439393659</v>
      </c>
      <c r="BY10" s="23">
        <f t="shared" si="13"/>
        <v>0.68969756955498118</v>
      </c>
      <c r="BZ10" s="25">
        <f t="shared" si="14"/>
        <v>1042.613873279319</v>
      </c>
      <c r="CA10" s="26"/>
      <c r="CB10" s="25">
        <f t="shared" si="15"/>
        <v>301.25631965986713</v>
      </c>
      <c r="CC10" s="27">
        <f t="shared" si="16"/>
        <v>5.2962996882097251</v>
      </c>
      <c r="CD10" s="178">
        <f t="shared" si="17"/>
        <v>2.3223745857654725E-3</v>
      </c>
      <c r="CE10" s="23">
        <f t="shared" si="40"/>
        <v>0.94497991702949102</v>
      </c>
      <c r="CF10" s="23">
        <f t="shared" si="41"/>
        <v>0.79742586001793625</v>
      </c>
      <c r="CG10" s="51">
        <f t="shared" si="42"/>
        <v>0.74128539254576142</v>
      </c>
      <c r="CH10" s="178">
        <f t="shared" si="21"/>
        <v>3.7620328099848781E-11</v>
      </c>
      <c r="CI10" s="178">
        <f t="shared" si="22"/>
        <v>5.6065187504559568E-7</v>
      </c>
      <c r="CJ10" s="178">
        <f t="shared" si="23"/>
        <v>1.2336271705831123E-7</v>
      </c>
      <c r="CK10" s="178">
        <f t="shared" si="24"/>
        <v>1.1128780366381641E-6</v>
      </c>
      <c r="CL10" s="178">
        <f t="shared" si="25"/>
        <v>9.5806215115562786E-8</v>
      </c>
      <c r="CM10" s="178">
        <f t="shared" si="26"/>
        <v>1.7678667045005709E-7</v>
      </c>
      <c r="CN10" s="178">
        <f t="shared" si="27"/>
        <v>1.1177645151456939E-6</v>
      </c>
      <c r="CO10" s="178">
        <f t="shared" si="28"/>
        <v>1.5633153858889907E-8</v>
      </c>
      <c r="CP10" s="52">
        <f t="shared" si="29"/>
        <v>1.4302849829663055E-7</v>
      </c>
      <c r="CQ10" s="178">
        <f t="shared" si="30"/>
        <v>1.3152066703707135E-8</v>
      </c>
      <c r="CR10" s="178">
        <f t="shared" si="43"/>
        <v>6.6717573130425882E-5</v>
      </c>
      <c r="CS10" s="178">
        <f t="shared" si="44"/>
        <v>1.307644800818099E-5</v>
      </c>
      <c r="CT10" s="178">
        <f t="shared" si="45"/>
        <v>5.575518963557202E-5</v>
      </c>
      <c r="CU10" s="178">
        <f t="shared" si="46"/>
        <v>7.0417568109938652E-6</v>
      </c>
      <c r="CV10" s="178">
        <f t="shared" si="47"/>
        <v>2.8285867272009133E-5</v>
      </c>
      <c r="CW10" s="178">
        <f t="shared" si="48"/>
        <v>8.5285432505616439E-5</v>
      </c>
      <c r="CX10" s="178">
        <f t="shared" si="49"/>
        <v>1.1162071855247394E-6</v>
      </c>
      <c r="CY10" s="52">
        <f t="shared" si="50"/>
        <v>6.3647681742000594E-6</v>
      </c>
      <c r="CZ10" s="24">
        <f t="shared" si="31"/>
        <v>25.729162661502684</v>
      </c>
      <c r="DA10" s="24">
        <f t="shared" si="51"/>
        <v>25.2</v>
      </c>
      <c r="DB10" s="24">
        <f t="shared" si="52"/>
        <v>-0.52916266150268498</v>
      </c>
      <c r="DC10" s="27">
        <f t="shared" si="53"/>
        <v>-2.0998518313598611</v>
      </c>
    </row>
    <row r="11" spans="1:108" ht="15.75" x14ac:dyDescent="0.25">
      <c r="B11" s="30">
        <v>7</v>
      </c>
      <c r="C11" s="29" t="s">
        <v>181</v>
      </c>
      <c r="D11" s="29" t="s">
        <v>22</v>
      </c>
      <c r="E11" s="46" t="s">
        <v>180</v>
      </c>
      <c r="F11" s="34">
        <v>1000</v>
      </c>
      <c r="J11" s="73">
        <v>6.25</v>
      </c>
      <c r="K11" s="193">
        <v>221.78162075206114</v>
      </c>
      <c r="L11" s="80">
        <v>58.1</v>
      </c>
      <c r="M11" s="84">
        <v>20.6</v>
      </c>
      <c r="N11" s="68">
        <v>0.33700000000000002</v>
      </c>
      <c r="O11" s="68">
        <v>4.3999999999999997E-2</v>
      </c>
      <c r="P11" s="163">
        <v>7.5890000000000004</v>
      </c>
      <c r="Q11" s="164">
        <v>5.448273939247569</v>
      </c>
      <c r="R11" s="142">
        <v>0.78639222705961187</v>
      </c>
      <c r="S11" s="142">
        <v>7.6582421359832109</v>
      </c>
      <c r="T11" s="158">
        <v>0.79467869249980483</v>
      </c>
      <c r="U11" s="157">
        <v>7.6189770200148255</v>
      </c>
      <c r="V11" s="91">
        <v>8.7200286507296987</v>
      </c>
      <c r="W11" s="2">
        <v>0.76103971749972699</v>
      </c>
      <c r="X11" s="68">
        <v>2.0193822228974867E-2</v>
      </c>
      <c r="Y11" s="68">
        <v>1.5421899096717338E-2</v>
      </c>
      <c r="Z11" s="68">
        <v>4.6497399816457639E-2</v>
      </c>
      <c r="AA11" s="68">
        <v>8.8959265552303603E-5</v>
      </c>
      <c r="AB11" s="68">
        <v>5.0543340914834466E-4</v>
      </c>
      <c r="AC11" s="68">
        <v>2.3805049176220013E-3</v>
      </c>
      <c r="AD11" s="35">
        <v>0.13595931822718699</v>
      </c>
      <c r="AE11" s="35">
        <v>0.15096238848842103</v>
      </c>
      <c r="AF11" s="169">
        <v>0.15024025585424136</v>
      </c>
      <c r="AG11" s="165">
        <f t="shared" si="34"/>
        <v>0.9006171642389933</v>
      </c>
      <c r="AH11" s="157">
        <v>3.7368421052631575</v>
      </c>
      <c r="AI11" s="2">
        <v>5.4939564867042705</v>
      </c>
      <c r="AJ11" s="2">
        <v>0.46215734100258471</v>
      </c>
      <c r="AK11" s="2">
        <v>1.5385769317314184E-2</v>
      </c>
      <c r="AL11" s="2">
        <v>1.258930538507538E-2</v>
      </c>
      <c r="AM11" s="2">
        <v>5.4732529162653455E-2</v>
      </c>
      <c r="AN11" s="68">
        <v>8.8959265552303603E-5</v>
      </c>
      <c r="AO11" s="68">
        <v>2.5271670457417233E-4</v>
      </c>
      <c r="AP11" s="68">
        <v>1.0649627263045792E-3</v>
      </c>
      <c r="AQ11" s="35">
        <v>4.8984087264026033E-2</v>
      </c>
      <c r="AR11" s="35">
        <v>5.4514695092982603E-2</v>
      </c>
      <c r="AS11" s="35">
        <v>5.9003375250409072E-2</v>
      </c>
      <c r="AT11" s="165">
        <f t="shared" si="35"/>
        <v>0.89854831216567699</v>
      </c>
      <c r="AU11" s="166">
        <v>2.6692223022218862</v>
      </c>
      <c r="AV11" s="91">
        <v>0.76715560702184615</v>
      </c>
      <c r="AW11" s="89">
        <v>10.959552036459437</v>
      </c>
      <c r="AX11" s="90">
        <v>6.2677259215906833E-2</v>
      </c>
      <c r="AY11" s="173"/>
      <c r="AZ11" s="186">
        <v>6.1</v>
      </c>
      <c r="BA11" s="188">
        <v>0.6516636752726761</v>
      </c>
      <c r="BB11" s="92">
        <f t="shared" si="36"/>
        <v>5.4483363247273235</v>
      </c>
      <c r="BD11" s="55">
        <v>3.42</v>
      </c>
      <c r="BE11" s="56">
        <f t="shared" si="37"/>
        <v>3.8018939632056113E-4</v>
      </c>
      <c r="BF11" s="56">
        <v>3.1622776601683798E-2</v>
      </c>
      <c r="BG11" s="56">
        <f t="shared" si="38"/>
        <v>1.2022644346174128E-5</v>
      </c>
      <c r="BH11" s="56">
        <v>5.0118723362727197E-7</v>
      </c>
      <c r="BI11" s="56">
        <f t="shared" si="0"/>
        <v>10.715193052376064</v>
      </c>
      <c r="BJ11" s="56">
        <v>5.6234132519034893E-11</v>
      </c>
      <c r="BK11" s="56">
        <f t="shared" si="1"/>
        <v>6.0255958607435753E-10</v>
      </c>
      <c r="BL11" s="175">
        <f t="shared" si="39"/>
        <v>10.715193053581183</v>
      </c>
      <c r="BM11" s="62">
        <f t="shared" si="2"/>
        <v>39.199448857942386</v>
      </c>
      <c r="BN11" s="62">
        <f t="shared" si="3"/>
        <v>27.368196104101958</v>
      </c>
      <c r="BO11" s="37"/>
      <c r="BP11" s="23">
        <f t="shared" si="4"/>
        <v>0.56234132519034874</v>
      </c>
      <c r="BQ11" s="25">
        <f t="shared" si="5"/>
        <v>271.88352409040209</v>
      </c>
      <c r="BR11" s="24">
        <f t="shared" si="6"/>
        <v>64.691693571866722</v>
      </c>
      <c r="BS11" s="25">
        <f t="shared" si="7"/>
        <v>333.11188064302786</v>
      </c>
      <c r="BT11" s="24">
        <f t="shared" si="8"/>
        <v>20.323223684205537</v>
      </c>
      <c r="BU11" s="24">
        <f t="shared" si="9"/>
        <v>55.571750129536277</v>
      </c>
      <c r="BV11" s="24">
        <f t="shared" si="10"/>
        <v>12.372140543229138</v>
      </c>
      <c r="BW11" s="25">
        <f t="shared" si="11"/>
        <v>309.12904511492502</v>
      </c>
      <c r="BX11" s="23">
        <f t="shared" si="12"/>
        <v>3.2991503956156878</v>
      </c>
      <c r="BY11" s="23">
        <f t="shared" si="13"/>
        <v>6.3125315654440697E-2</v>
      </c>
      <c r="BZ11" s="25">
        <f t="shared" si="14"/>
        <v>190.72396207725149</v>
      </c>
      <c r="CA11" s="26"/>
      <c r="CB11" s="25">
        <f t="shared" si="15"/>
        <v>119.41348973848062</v>
      </c>
      <c r="CC11" s="27">
        <f t="shared" si="16"/>
        <v>9.4642527236796425</v>
      </c>
      <c r="CD11" s="178">
        <f t="shared" si="17"/>
        <v>5.3547237474899925E-4</v>
      </c>
      <c r="CE11" s="23">
        <f t="shared" si="40"/>
        <v>0.973191840928889</v>
      </c>
      <c r="CF11" s="23">
        <f t="shared" si="41"/>
        <v>0.89700287889797659</v>
      </c>
      <c r="CG11" s="51">
        <f t="shared" si="42"/>
        <v>0.86610361102637146</v>
      </c>
      <c r="CH11" s="178">
        <f t="shared" si="21"/>
        <v>5.4726598949238649E-10</v>
      </c>
      <c r="CI11" s="178">
        <f t="shared" si="22"/>
        <v>1.2194015191700902E-7</v>
      </c>
      <c r="CJ11" s="178">
        <f t="shared" si="23"/>
        <v>2.9014317687375088E-8</v>
      </c>
      <c r="CK11" s="178">
        <f t="shared" si="24"/>
        <v>3.2418176435827262E-7</v>
      </c>
      <c r="CL11" s="178">
        <f t="shared" si="25"/>
        <v>1.9778395470841584E-8</v>
      </c>
      <c r="CM11" s="178">
        <f t="shared" si="26"/>
        <v>2.4924009925796524E-8</v>
      </c>
      <c r="CN11" s="178">
        <f t="shared" si="27"/>
        <v>3.0084186449998346E-7</v>
      </c>
      <c r="CO11" s="178">
        <f t="shared" si="28"/>
        <v>1.204046623149611E-8</v>
      </c>
      <c r="CP11" s="52">
        <f t="shared" si="29"/>
        <v>1.0427938452550302E-8</v>
      </c>
      <c r="CQ11" s="178">
        <f t="shared" si="30"/>
        <v>1.9132418992653834E-7</v>
      </c>
      <c r="CR11" s="178">
        <f t="shared" si="43"/>
        <v>1.4510878078124073E-5</v>
      </c>
      <c r="CS11" s="178">
        <f t="shared" si="44"/>
        <v>3.0755176748617594E-6</v>
      </c>
      <c r="CT11" s="178">
        <f t="shared" si="45"/>
        <v>1.624150639434946E-5</v>
      </c>
      <c r="CU11" s="178">
        <f t="shared" si="46"/>
        <v>1.4537120671068564E-6</v>
      </c>
      <c r="CV11" s="178">
        <f t="shared" si="47"/>
        <v>3.9878415881274436E-6</v>
      </c>
      <c r="CW11" s="178">
        <f t="shared" si="48"/>
        <v>2.2954234261348737E-5</v>
      </c>
      <c r="CX11" s="178">
        <f t="shared" si="49"/>
        <v>8.5968928892882234E-7</v>
      </c>
      <c r="CY11" s="52">
        <f t="shared" si="50"/>
        <v>4.6404326113848845E-7</v>
      </c>
      <c r="CZ11" s="24">
        <f t="shared" si="31"/>
        <v>6.3274703542773683</v>
      </c>
      <c r="DA11" s="24">
        <f t="shared" si="51"/>
        <v>5.8100000000000005</v>
      </c>
      <c r="DB11" s="24">
        <f t="shared" si="52"/>
        <v>-0.51747035427736776</v>
      </c>
      <c r="DC11" s="27">
        <f t="shared" si="53"/>
        <v>-8.9065465452214756</v>
      </c>
    </row>
    <row r="12" spans="1:108" ht="15.75" x14ac:dyDescent="0.25">
      <c r="B12" s="30">
        <v>8</v>
      </c>
      <c r="C12" s="88" t="s">
        <v>182</v>
      </c>
      <c r="D12" s="29" t="s">
        <v>22</v>
      </c>
      <c r="E12" s="46" t="s">
        <v>183</v>
      </c>
      <c r="F12" s="34">
        <v>1000</v>
      </c>
      <c r="J12" s="73">
        <v>7.28</v>
      </c>
      <c r="K12" s="193">
        <v>1377.0163542082171</v>
      </c>
      <c r="L12" s="194">
        <v>224</v>
      </c>
      <c r="M12" s="84">
        <v>20.9</v>
      </c>
      <c r="N12" s="68">
        <v>0.20899999999999999</v>
      </c>
      <c r="O12" s="68">
        <v>3.2000000000000001E-2</v>
      </c>
      <c r="P12" s="163">
        <v>5.282</v>
      </c>
      <c r="Q12" s="164">
        <v>33.155149988124009</v>
      </c>
      <c r="R12" s="142">
        <v>5.6764929403110793</v>
      </c>
      <c r="S12" s="142">
        <v>19.894904399988331</v>
      </c>
      <c r="T12" s="158">
        <v>3.6662853145275367</v>
      </c>
      <c r="U12" s="157">
        <v>7.8914010378057817</v>
      </c>
      <c r="V12" s="91">
        <v>7.5278001611603544</v>
      </c>
      <c r="W12" s="2">
        <v>0.97291492227602028</v>
      </c>
      <c r="X12" s="68">
        <v>2.6732774188833391E-2</v>
      </c>
      <c r="Y12" s="68">
        <v>4.6265697290152015E-2</v>
      </c>
      <c r="Z12" s="68">
        <v>3.9920464973998163E-2</v>
      </c>
      <c r="AA12" s="68">
        <v>8.8959265552303603E-5</v>
      </c>
      <c r="AB12" s="68">
        <v>3.369556060988965E-4</v>
      </c>
      <c r="AC12" s="68">
        <v>3.7273695420660278E-3</v>
      </c>
      <c r="AD12" s="35">
        <v>0.20619958717450132</v>
      </c>
      <c r="AE12" s="35">
        <v>0.22963752686530237</v>
      </c>
      <c r="AF12" s="169">
        <v>0.22648113911742554</v>
      </c>
      <c r="AG12" s="165">
        <f t="shared" si="34"/>
        <v>0.89793506309380799</v>
      </c>
      <c r="AH12" s="157">
        <v>1.1982950333580429</v>
      </c>
      <c r="AI12" s="2">
        <v>4.179783328856657</v>
      </c>
      <c r="AJ12" s="2">
        <v>0.83111871564308848</v>
      </c>
      <c r="AK12" s="2">
        <v>2.1347754927773431E-2</v>
      </c>
      <c r="AL12" s="2">
        <v>3.9498945645673994E-2</v>
      </c>
      <c r="AM12" s="2">
        <v>3.0729716094115483E-2</v>
      </c>
      <c r="AN12" s="68">
        <v>0</v>
      </c>
      <c r="AO12" s="68">
        <v>5.0543340914834466E-4</v>
      </c>
      <c r="AP12" s="68">
        <v>1.033640293177974E-3</v>
      </c>
      <c r="AQ12" s="35">
        <v>4.5922997300914759E-2</v>
      </c>
      <c r="AR12" s="35">
        <v>5.1300845834714712E-2</v>
      </c>
      <c r="AS12" s="35">
        <v>5.7243283589751497E-2</v>
      </c>
      <c r="AT12" s="165">
        <f t="shared" si="35"/>
        <v>0.89517037299683622</v>
      </c>
      <c r="AU12" s="166">
        <v>18.839155437385831</v>
      </c>
      <c r="AV12" s="91">
        <v>2.3788359720884182</v>
      </c>
      <c r="AW12" s="89">
        <v>25.138833409804722</v>
      </c>
      <c r="AX12" s="90">
        <v>0.13873447175471793</v>
      </c>
      <c r="AY12" s="173"/>
      <c r="AZ12" s="174">
        <v>69.13</v>
      </c>
      <c r="BA12" s="33">
        <v>30.664641723042937</v>
      </c>
      <c r="BB12" s="92">
        <f t="shared" si="36"/>
        <v>38.465358276957062</v>
      </c>
      <c r="BD12" s="55">
        <v>3.42</v>
      </c>
      <c r="BE12" s="56">
        <f t="shared" si="37"/>
        <v>3.8018939632056113E-4</v>
      </c>
      <c r="BF12" s="56">
        <v>3.1622776601683798E-2</v>
      </c>
      <c r="BG12" s="56">
        <f t="shared" si="38"/>
        <v>1.2022644346174128E-5</v>
      </c>
      <c r="BH12" s="56">
        <v>5.0118723362727197E-7</v>
      </c>
      <c r="BI12" s="56">
        <f t="shared" si="0"/>
        <v>114.81536214968837</v>
      </c>
      <c r="BJ12" s="56">
        <v>5.6234132519034893E-11</v>
      </c>
      <c r="BK12" s="56">
        <f t="shared" si="1"/>
        <v>6.4565422903465574E-9</v>
      </c>
      <c r="BL12" s="175">
        <f t="shared" si="39"/>
        <v>114.81536216260146</v>
      </c>
      <c r="BM12" s="62">
        <f t="shared" si="2"/>
        <v>28.632285105479664</v>
      </c>
      <c r="BN12" s="62">
        <f t="shared" si="3"/>
        <v>19.048466441147262</v>
      </c>
      <c r="BO12" s="37"/>
      <c r="BP12" s="23">
        <f t="shared" si="4"/>
        <v>5.2480746024977189E-2</v>
      </c>
      <c r="BQ12" s="25">
        <f t="shared" si="5"/>
        <v>1654.531163637108</v>
      </c>
      <c r="BR12" s="25">
        <f t="shared" si="6"/>
        <v>466.97046234872317</v>
      </c>
      <c r="BS12" s="25">
        <f t="shared" si="7"/>
        <v>865.37209221349849</v>
      </c>
      <c r="BT12" s="24">
        <f t="shared" si="8"/>
        <v>93.762091824651847</v>
      </c>
      <c r="BU12" s="25">
        <f t="shared" si="9"/>
        <v>392.22092432931862</v>
      </c>
      <c r="BV12" s="24">
        <f t="shared" si="10"/>
        <v>38.364176324307188</v>
      </c>
      <c r="BW12" s="25">
        <f t="shared" si="11"/>
        <v>709.07492764518429</v>
      </c>
      <c r="BX12" s="23">
        <f t="shared" si="12"/>
        <v>7.3025829958268194</v>
      </c>
      <c r="BY12" s="23">
        <f t="shared" si="13"/>
        <v>2.9704205737529485</v>
      </c>
      <c r="BZ12" s="25">
        <f t="shared" si="14"/>
        <v>1345.4488349542421</v>
      </c>
      <c r="CA12" s="26"/>
      <c r="CB12" s="25">
        <f t="shared" si="15"/>
        <v>585.30642394737379</v>
      </c>
      <c r="CC12" s="27">
        <f t="shared" si="16"/>
        <v>10.496755015723631</v>
      </c>
      <c r="CD12" s="178">
        <f t="shared" si="17"/>
        <v>2.113825451032321E-3</v>
      </c>
      <c r="CE12" s="23">
        <f t="shared" si="40"/>
        <v>0.94744074476734108</v>
      </c>
      <c r="CF12" s="23">
        <f t="shared" si="41"/>
        <v>0.80576468762317954</v>
      </c>
      <c r="CG12" s="51">
        <f t="shared" si="42"/>
        <v>0.75155433649786629</v>
      </c>
      <c r="CH12" s="178">
        <f t="shared" si="21"/>
        <v>4.9722397099850062E-11</v>
      </c>
      <c r="CI12" s="178">
        <f t="shared" si="22"/>
        <v>6.6658139311543508E-7</v>
      </c>
      <c r="CJ12" s="178">
        <f t="shared" si="23"/>
        <v>1.8813415436183533E-7</v>
      </c>
      <c r="CK12" s="178">
        <f t="shared" si="24"/>
        <v>8.1988877954762918E-7</v>
      </c>
      <c r="CL12" s="178">
        <f t="shared" si="25"/>
        <v>8.8834026109291975E-8</v>
      </c>
      <c r="CM12" s="178">
        <f t="shared" si="26"/>
        <v>1.5801888528574409E-7</v>
      </c>
      <c r="CN12" s="178">
        <f t="shared" si="27"/>
        <v>6.7180647754400189E-7</v>
      </c>
      <c r="CO12" s="178">
        <f t="shared" si="28"/>
        <v>3.6347783789087194E-8</v>
      </c>
      <c r="CP12" s="52">
        <f t="shared" si="29"/>
        <v>1.0878075222583273E-7</v>
      </c>
      <c r="CQ12" s="178">
        <f t="shared" si="30"/>
        <v>1.7382950026107582E-8</v>
      </c>
      <c r="CR12" s="178">
        <f t="shared" si="43"/>
        <v>7.9323185780736768E-5</v>
      </c>
      <c r="CS12" s="178">
        <f t="shared" si="44"/>
        <v>1.9942220362354547E-5</v>
      </c>
      <c r="CT12" s="178">
        <f t="shared" si="45"/>
        <v>4.1076427855336221E-5</v>
      </c>
      <c r="CU12" s="178">
        <f t="shared" si="46"/>
        <v>6.5293009190329605E-6</v>
      </c>
      <c r="CV12" s="178">
        <f t="shared" si="47"/>
        <v>2.5283021645719053E-5</v>
      </c>
      <c r="CW12" s="178">
        <f t="shared" si="48"/>
        <v>5.1258834236607342E-5</v>
      </c>
      <c r="CX12" s="178">
        <f t="shared" si="49"/>
        <v>2.5952317625408258E-6</v>
      </c>
      <c r="CY12" s="52">
        <f t="shared" si="50"/>
        <v>4.8407434740495565E-6</v>
      </c>
      <c r="CZ12" s="24">
        <f t="shared" si="31"/>
        <v>22.602560551235385</v>
      </c>
      <c r="DA12" s="24">
        <f t="shared" si="51"/>
        <v>22.4</v>
      </c>
      <c r="DB12" s="24">
        <f t="shared" si="52"/>
        <v>-0.2025605512353863</v>
      </c>
      <c r="DC12" s="27">
        <f t="shared" si="53"/>
        <v>-0.90428817515797466</v>
      </c>
    </row>
    <row r="13" spans="1:108" ht="15.75" x14ac:dyDescent="0.25">
      <c r="B13" s="30">
        <v>9</v>
      </c>
      <c r="C13" s="29" t="s">
        <v>185</v>
      </c>
      <c r="D13" s="29" t="s">
        <v>22</v>
      </c>
      <c r="E13" s="46" t="s">
        <v>184</v>
      </c>
      <c r="F13" s="34">
        <v>1000</v>
      </c>
      <c r="J13" s="73">
        <v>7.23</v>
      </c>
      <c r="K13" s="193">
        <v>228.3687661434532</v>
      </c>
      <c r="L13" s="80">
        <v>45.9</v>
      </c>
      <c r="M13" s="84">
        <v>20.6</v>
      </c>
      <c r="N13" s="68">
        <v>2.8000000000000001E-2</v>
      </c>
      <c r="O13" s="68">
        <v>3.0000000000000001E-3</v>
      </c>
      <c r="P13" s="163">
        <v>1.9119999999999999</v>
      </c>
      <c r="Q13" s="164">
        <v>7.6698182323586517</v>
      </c>
      <c r="R13" s="142">
        <v>1.1573751651842334</v>
      </c>
      <c r="S13" s="142">
        <v>1.9272171947874293</v>
      </c>
      <c r="T13" s="158">
        <v>0.55636694586113178</v>
      </c>
      <c r="U13" s="157">
        <v>1.2961452928094885</v>
      </c>
      <c r="V13" s="91">
        <v>0.69818246933476591</v>
      </c>
      <c r="W13" s="2">
        <v>3.0943973206159669E-2</v>
      </c>
      <c r="X13" s="68">
        <v>5.5773413775263908E-3</v>
      </c>
      <c r="Y13" s="68">
        <v>9.2846127214930921E-3</v>
      </c>
      <c r="Z13" s="68">
        <v>2.4625267665952893E-2</v>
      </c>
      <c r="AA13" s="68">
        <v>8.8959265552303603E-5</v>
      </c>
      <c r="AB13" s="68">
        <v>1.6847780304944825E-4</v>
      </c>
      <c r="AC13" s="68">
        <v>6.264486625321055E-4</v>
      </c>
      <c r="AD13" s="35">
        <v>4.6526822594128159E-2</v>
      </c>
      <c r="AE13" s="35">
        <v>5.0738557269187468E-2</v>
      </c>
      <c r="AF13" s="169">
        <v>5.1096604480322917E-2</v>
      </c>
      <c r="AG13" s="165">
        <f t="shared" si="34"/>
        <v>0.91699143803568472</v>
      </c>
      <c r="AH13" s="157">
        <v>0.28020756115641215</v>
      </c>
      <c r="AI13" s="2">
        <v>0.97591548034739006</v>
      </c>
      <c r="AJ13" s="2">
        <v>3.640467436018785E-3</v>
      </c>
      <c r="AK13" s="2">
        <v>4.0387644457949732E-3</v>
      </c>
      <c r="AL13" s="2">
        <v>8.3404148176124387E-3</v>
      </c>
      <c r="AM13" s="2">
        <v>2.5378770505587914E-2</v>
      </c>
      <c r="AN13" s="68">
        <v>0</v>
      </c>
      <c r="AO13" s="68">
        <v>4.2119450762362061E-4</v>
      </c>
      <c r="AP13" s="197">
        <v>6.2644866253210553E-5</v>
      </c>
      <c r="AQ13" s="151">
        <v>-4.2023508450323814E-3</v>
      </c>
      <c r="AR13" s="151">
        <v>-8.0053858111887172E-3</v>
      </c>
      <c r="AS13" s="35">
        <v>7.3953846430786189E-4</v>
      </c>
      <c r="AT13" s="167">
        <f t="shared" si="35"/>
        <v>0.52494045185916849</v>
      </c>
      <c r="AU13" s="166">
        <v>8.5118327836603971</v>
      </c>
      <c r="AV13" s="91">
        <v>0.86668992878542694</v>
      </c>
      <c r="AW13" s="89">
        <v>2.6962483191737561</v>
      </c>
      <c r="AX13" s="90">
        <v>5.9645730383722256E-2</v>
      </c>
      <c r="AY13" s="173"/>
      <c r="AZ13" s="187">
        <v>0</v>
      </c>
      <c r="BA13" s="189">
        <v>0</v>
      </c>
      <c r="BB13" s="92">
        <f t="shared" si="36"/>
        <v>0</v>
      </c>
      <c r="BD13" s="55">
        <v>3.42</v>
      </c>
      <c r="BE13" s="56">
        <f t="shared" si="37"/>
        <v>3.8018939632056113E-4</v>
      </c>
      <c r="BF13" s="56">
        <v>3.1622776601683798E-2</v>
      </c>
      <c r="BG13" s="56">
        <f t="shared" si="38"/>
        <v>1.2022644346174128E-5</v>
      </c>
      <c r="BH13" s="56">
        <v>5.0118723362727197E-7</v>
      </c>
      <c r="BI13" s="56">
        <f t="shared" si="0"/>
        <v>102.32929922807556</v>
      </c>
      <c r="BJ13" s="56">
        <v>5.6234132519034893E-11</v>
      </c>
      <c r="BK13" s="56">
        <f t="shared" si="1"/>
        <v>5.754399373371576E-9</v>
      </c>
      <c r="BL13" s="175">
        <f t="shared" si="39"/>
        <v>102.32929923958436</v>
      </c>
      <c r="BM13" s="62">
        <f t="shared" si="2"/>
        <v>10.352542844677746</v>
      </c>
      <c r="BN13" s="62">
        <f t="shared" si="3"/>
        <v>6.8952419226568651</v>
      </c>
      <c r="BO13" s="37"/>
      <c r="BP13" s="23">
        <f t="shared" si="4"/>
        <v>5.8884365535558779E-2</v>
      </c>
      <c r="BQ13" s="25">
        <f t="shared" si="5"/>
        <v>382.74455972646592</v>
      </c>
      <c r="BR13" s="24">
        <f t="shared" si="6"/>
        <v>95.210197859841514</v>
      </c>
      <c r="BS13" s="24">
        <f t="shared" si="7"/>
        <v>83.828499120810321</v>
      </c>
      <c r="BT13" s="24">
        <f t="shared" si="8"/>
        <v>14.228605847811668</v>
      </c>
      <c r="BU13" s="25">
        <f t="shared" si="9"/>
        <v>177.2117085205779</v>
      </c>
      <c r="BV13" s="24">
        <f t="shared" si="10"/>
        <v>13.977359362543515</v>
      </c>
      <c r="BW13" s="24">
        <f t="shared" si="11"/>
        <v>76.051344573766841</v>
      </c>
      <c r="BX13" s="23">
        <f t="shared" si="12"/>
        <v>3.1395794496116567</v>
      </c>
      <c r="BY13" s="23">
        <f t="shared" si="13"/>
        <v>0</v>
      </c>
      <c r="BZ13" s="25">
        <f t="shared" si="14"/>
        <v>196.80765050898876</v>
      </c>
      <c r="CA13" s="26"/>
      <c r="CB13" s="25">
        <f t="shared" si="15"/>
        <v>108.88310450497636</v>
      </c>
      <c r="CC13" s="27">
        <f t="shared" si="16"/>
        <v>10.436829995134929</v>
      </c>
      <c r="CD13" s="178">
        <f t="shared" si="17"/>
        <v>4.2322536941348244E-4</v>
      </c>
      <c r="CE13" s="23">
        <f t="shared" si="40"/>
        <v>0.97613088594506692</v>
      </c>
      <c r="CF13" s="23">
        <f t="shared" si="41"/>
        <v>0.90788787977124874</v>
      </c>
      <c r="CG13" s="51">
        <f t="shared" si="42"/>
        <v>0.88003026619046809</v>
      </c>
      <c r="CH13" s="178">
        <f t="shared" si="21"/>
        <v>5.7478847898538154E-11</v>
      </c>
      <c r="CI13" s="178">
        <f t="shared" si="22"/>
        <v>1.7374457341202061E-7</v>
      </c>
      <c r="CJ13" s="178">
        <f t="shared" si="23"/>
        <v>4.3220092333786299E-8</v>
      </c>
      <c r="CK13" s="178">
        <f t="shared" si="24"/>
        <v>8.1827587114241842E-8</v>
      </c>
      <c r="CL13" s="178">
        <f t="shared" si="25"/>
        <v>1.3888981631987564E-8</v>
      </c>
      <c r="CM13" s="178">
        <f t="shared" si="26"/>
        <v>8.0444181159694004E-8</v>
      </c>
      <c r="CN13" s="178">
        <f t="shared" si="27"/>
        <v>7.4236066356104594E-8</v>
      </c>
      <c r="CO13" s="178">
        <f t="shared" si="28"/>
        <v>1.3643732177732177E-8</v>
      </c>
      <c r="CP13" s="52">
        <f t="shared" si="29"/>
        <v>9.9886789513639246E-8</v>
      </c>
      <c r="CQ13" s="178">
        <f t="shared" si="30"/>
        <v>2.0094605225328941E-8</v>
      </c>
      <c r="CR13" s="178">
        <f t="shared" si="43"/>
        <v>2.0675604236030454E-5</v>
      </c>
      <c r="CS13" s="178">
        <f t="shared" si="44"/>
        <v>4.581329787381348E-6</v>
      </c>
      <c r="CT13" s="178">
        <f t="shared" si="45"/>
        <v>4.0995621144235166E-6</v>
      </c>
      <c r="CU13" s="178">
        <f t="shared" si="46"/>
        <v>1.020840149951086E-6</v>
      </c>
      <c r="CV13" s="178">
        <f t="shared" si="47"/>
        <v>1.2871068985551041E-5</v>
      </c>
      <c r="CW13" s="178">
        <f t="shared" si="48"/>
        <v>5.6642118629707802E-6</v>
      </c>
      <c r="CX13" s="178">
        <f t="shared" si="49"/>
        <v>9.7416247749007746E-7</v>
      </c>
      <c r="CY13" s="52">
        <f t="shared" si="50"/>
        <v>4.4449621333569469E-6</v>
      </c>
      <c r="CZ13" s="24">
        <f t="shared" si="31"/>
        <v>4.9906874219023631</v>
      </c>
      <c r="DA13" s="24">
        <f t="shared" si="51"/>
        <v>4.59</v>
      </c>
      <c r="DB13" s="24">
        <f t="shared" si="52"/>
        <v>-0.40068742190236328</v>
      </c>
      <c r="DC13" s="27">
        <f t="shared" si="53"/>
        <v>-8.729573461925126</v>
      </c>
    </row>
    <row r="14" spans="1:108" ht="15.75" x14ac:dyDescent="0.25">
      <c r="B14" s="30">
        <v>11</v>
      </c>
      <c r="C14" s="29" t="s">
        <v>188</v>
      </c>
      <c r="D14" s="29" t="s">
        <v>22</v>
      </c>
      <c r="E14" s="46" t="s">
        <v>189</v>
      </c>
      <c r="F14" s="34">
        <v>2000</v>
      </c>
      <c r="J14" s="73">
        <v>7.8</v>
      </c>
      <c r="K14" s="193">
        <v>1532.5389221556889</v>
      </c>
      <c r="L14" s="194">
        <v>213</v>
      </c>
      <c r="M14" s="84">
        <v>20.8</v>
      </c>
      <c r="N14" s="68">
        <v>0.16200000000000001</v>
      </c>
      <c r="O14" s="68">
        <v>1.0999999999999999E-2</v>
      </c>
      <c r="P14" s="163">
        <v>7.7190000000000003</v>
      </c>
      <c r="Q14" s="164">
        <v>31.452238707786567</v>
      </c>
      <c r="R14" s="142">
        <v>4.730521781645578</v>
      </c>
      <c r="S14" s="142">
        <v>15.826347265975727</v>
      </c>
      <c r="T14" s="158">
        <v>2.4746781104911828</v>
      </c>
      <c r="U14" s="157">
        <v>1.5259451445515197</v>
      </c>
      <c r="V14" s="91">
        <v>2.011818426000537</v>
      </c>
      <c r="W14" s="2">
        <v>0.10630164913174851</v>
      </c>
      <c r="X14" s="68">
        <v>1.077003852211993E-2</v>
      </c>
      <c r="Y14" s="68">
        <v>1.2117206433135052E-2</v>
      </c>
      <c r="Z14" s="68">
        <v>8.5653104925053555E-3</v>
      </c>
      <c r="AA14" s="68">
        <v>8.8959265552303603E-5</v>
      </c>
      <c r="AB14" s="68">
        <v>1.6847780304944825E-4</v>
      </c>
      <c r="AC14" s="68">
        <v>7.2041596191192139E-4</v>
      </c>
      <c r="AD14" s="35">
        <v>5.0321524964471939E-2</v>
      </c>
      <c r="AE14" s="35">
        <v>5.5505022836825638E-2</v>
      </c>
      <c r="AF14" s="169">
        <v>5.5929091376051891E-2</v>
      </c>
      <c r="AG14" s="165">
        <f t="shared" si="34"/>
        <v>0.90661209369119244</v>
      </c>
      <c r="AH14" s="157">
        <v>2.3799110452186802</v>
      </c>
      <c r="AI14" s="2">
        <v>1.1050228310502284</v>
      </c>
      <c r="AJ14" s="2">
        <v>2.7121482398339947E-2</v>
      </c>
      <c r="AK14" s="2">
        <v>4.808052911660682E-3</v>
      </c>
      <c r="AL14" s="2">
        <v>1.1487741163881283E-2</v>
      </c>
      <c r="AM14" s="2">
        <v>5.9166169793147726E-2</v>
      </c>
      <c r="AN14" s="68">
        <v>8.8959265552303603E-5</v>
      </c>
      <c r="AO14" s="68">
        <v>3.369556060988965E-4</v>
      </c>
      <c r="AP14" s="68">
        <v>4.3851406377247388E-4</v>
      </c>
      <c r="AQ14" s="35">
        <v>1.6367080460659995E-2</v>
      </c>
      <c r="AR14" s="35">
        <v>1.7441158427052364E-2</v>
      </c>
      <c r="AS14" s="35">
        <v>2.6064517029531699E-2</v>
      </c>
      <c r="AT14" s="165">
        <f t="shared" si="35"/>
        <v>0.93841705120191987</v>
      </c>
      <c r="AU14" s="166">
        <v>7.1913954320484859</v>
      </c>
      <c r="AV14" s="91">
        <v>0.85435707095312641</v>
      </c>
      <c r="AW14" s="89">
        <v>13.277731486364145</v>
      </c>
      <c r="AX14" s="90">
        <v>6.8291414617115187E-2</v>
      </c>
      <c r="AY14" s="173">
        <v>0.69</v>
      </c>
      <c r="AZ14" s="186">
        <v>2.2400000000000002</v>
      </c>
      <c r="BA14" s="189">
        <v>0.13419853651801641</v>
      </c>
      <c r="BB14" s="92">
        <f t="shared" si="36"/>
        <v>2.1058014634819839</v>
      </c>
      <c r="BD14" s="55">
        <v>3.42</v>
      </c>
      <c r="BE14" s="56">
        <f t="shared" si="37"/>
        <v>3.8018939632056113E-4</v>
      </c>
      <c r="BF14" s="56">
        <v>3.1622776601683798E-2</v>
      </c>
      <c r="BG14" s="56">
        <f t="shared" si="38"/>
        <v>1.2022644346174128E-5</v>
      </c>
      <c r="BH14" s="56">
        <v>5.0118723362727197E-7</v>
      </c>
      <c r="BI14" s="56">
        <f t="shared" si="0"/>
        <v>380.189396320561</v>
      </c>
      <c r="BJ14" s="56">
        <v>5.6234132519034893E-11</v>
      </c>
      <c r="BK14" s="56">
        <f t="shared" si="1"/>
        <v>2.1379620895022302E-8</v>
      </c>
      <c r="BL14" s="175">
        <f t="shared" si="39"/>
        <v>380.18939636332027</v>
      </c>
      <c r="BM14" s="62">
        <f t="shared" si="2"/>
        <v>42.18386350946912</v>
      </c>
      <c r="BN14" s="62">
        <f t="shared" si="3"/>
        <v>27.837014854073402</v>
      </c>
      <c r="BO14" s="37"/>
      <c r="BP14" s="23">
        <f t="shared" si="4"/>
        <v>1.5848931924611134E-2</v>
      </c>
      <c r="BQ14" s="25">
        <f t="shared" si="5"/>
        <v>1569.5513103341766</v>
      </c>
      <c r="BR14" s="25">
        <f t="shared" si="6"/>
        <v>389.151183090291</v>
      </c>
      <c r="BS14" s="25">
        <f t="shared" si="7"/>
        <v>688.4013599815454</v>
      </c>
      <c r="BT14" s="24">
        <f t="shared" si="8"/>
        <v>63.287763042585624</v>
      </c>
      <c r="BU14" s="25">
        <f t="shared" si="9"/>
        <v>149.72092421819798</v>
      </c>
      <c r="BV14" s="24">
        <f t="shared" si="10"/>
        <v>13.778463794285559</v>
      </c>
      <c r="BW14" s="25">
        <f t="shared" si="11"/>
        <v>374.51644392192884</v>
      </c>
      <c r="BX14" s="23">
        <f t="shared" si="12"/>
        <v>3.5946633654655851</v>
      </c>
      <c r="BY14" s="23">
        <f t="shared" si="13"/>
        <v>1.2999535342397457E-2</v>
      </c>
      <c r="BZ14" s="25">
        <f t="shared" si="14"/>
        <v>1500.9347710876136</v>
      </c>
      <c r="CA14" s="26"/>
      <c r="CB14" s="25">
        <f t="shared" si="15"/>
        <v>667.84919945768934</v>
      </c>
      <c r="CC14" s="27">
        <f t="shared" si="16"/>
        <v>14.05121006993989</v>
      </c>
      <c r="CD14" s="178">
        <f t="shared" si="17"/>
        <v>1.6260089803402005E-3</v>
      </c>
      <c r="CE14" s="23">
        <f t="shared" si="40"/>
        <v>0.95375068120623285</v>
      </c>
      <c r="CF14" s="23">
        <f t="shared" si="41"/>
        <v>0.82744558800002488</v>
      </c>
      <c r="CG14" s="51">
        <f t="shared" si="42"/>
        <v>0.77841360076661326</v>
      </c>
      <c r="CH14" s="178">
        <f t="shared" si="21"/>
        <v>1.5115929619489081E-11</v>
      </c>
      <c r="CI14" s="178">
        <f t="shared" si="22"/>
        <v>6.4935915343783624E-7</v>
      </c>
      <c r="CJ14" s="178">
        <f t="shared" si="23"/>
        <v>1.6100071475652559E-7</v>
      </c>
      <c r="CK14" s="178">
        <f t="shared" si="24"/>
        <v>6.5656326602569605E-7</v>
      </c>
      <c r="CL14" s="178">
        <f t="shared" si="25"/>
        <v>6.0360747113884694E-8</v>
      </c>
      <c r="CM14" s="178">
        <f t="shared" si="26"/>
        <v>6.1942959087816999E-8</v>
      </c>
      <c r="CN14" s="178">
        <f t="shared" si="27"/>
        <v>3.5719531351347554E-7</v>
      </c>
      <c r="CO14" s="178">
        <f t="shared" si="28"/>
        <v>1.3141219229775268E-8</v>
      </c>
      <c r="CP14" s="52">
        <f t="shared" si="29"/>
        <v>3.6260589572812151E-7</v>
      </c>
      <c r="CQ14" s="178">
        <f t="shared" si="30"/>
        <v>5.2845289949733833E-9</v>
      </c>
      <c r="CR14" s="178">
        <f t="shared" si="43"/>
        <v>7.7273739259102518E-5</v>
      </c>
      <c r="CS14" s="178">
        <f t="shared" si="44"/>
        <v>1.7066075764191713E-5</v>
      </c>
      <c r="CT14" s="178">
        <f t="shared" si="45"/>
        <v>3.2893819627887376E-5</v>
      </c>
      <c r="CU14" s="178">
        <f t="shared" si="46"/>
        <v>4.4365149128705251E-6</v>
      </c>
      <c r="CV14" s="178">
        <f t="shared" si="47"/>
        <v>9.9108734540507202E-6</v>
      </c>
      <c r="CW14" s="178">
        <f t="shared" si="48"/>
        <v>2.7254002421078183E-5</v>
      </c>
      <c r="CX14" s="178">
        <f t="shared" si="49"/>
        <v>9.3828305300595424E-7</v>
      </c>
      <c r="CY14" s="52">
        <f t="shared" si="50"/>
        <v>1.6135962359901408E-5</v>
      </c>
      <c r="CZ14" s="24">
        <f t="shared" si="31"/>
        <v>16.977859302118198</v>
      </c>
      <c r="DA14" s="24">
        <f t="shared" si="51"/>
        <v>21.3</v>
      </c>
      <c r="DB14" s="24">
        <f t="shared" si="52"/>
        <v>4.3221406978818031</v>
      </c>
      <c r="DC14" s="27">
        <f t="shared" si="53"/>
        <v>20.291740365642269</v>
      </c>
    </row>
    <row r="17" spans="1:106" x14ac:dyDescent="0.25">
      <c r="F17" s="5"/>
      <c r="G17" s="5"/>
      <c r="H17" s="73"/>
      <c r="I17" s="76"/>
      <c r="J17" s="80"/>
      <c r="K17" s="84"/>
    </row>
    <row r="18" spans="1:106" x14ac:dyDescent="0.25">
      <c r="F18" s="5"/>
      <c r="G18" s="5"/>
      <c r="H18" s="73"/>
      <c r="I18" s="76"/>
      <c r="J18" s="80"/>
      <c r="K18" s="84"/>
      <c r="AI18" s="210" t="s">
        <v>440</v>
      </c>
      <c r="AJ18" s="210"/>
      <c r="AK18" s="210"/>
      <c r="AL18" s="210"/>
      <c r="AM18" s="210"/>
      <c r="AN18" s="210"/>
      <c r="AO18" s="210"/>
      <c r="AP18" s="210"/>
      <c r="AQ18" s="211"/>
      <c r="AR18" s="208" t="s">
        <v>439</v>
      </c>
      <c r="AS18" s="209"/>
      <c r="AT18" s="209"/>
      <c r="AU18" s="209"/>
      <c r="AV18" s="209"/>
      <c r="AW18" s="209"/>
      <c r="AX18" s="209"/>
      <c r="AY18" s="209"/>
      <c r="AZ18" s="209"/>
    </row>
    <row r="19" spans="1:106" x14ac:dyDescent="0.25">
      <c r="F19" s="5"/>
      <c r="G19" s="5"/>
      <c r="H19" s="73"/>
      <c r="I19" s="76"/>
      <c r="J19" s="80"/>
      <c r="K19" s="84"/>
      <c r="AI19" s="152" t="s">
        <v>1</v>
      </c>
      <c r="AJ19" s="149" t="s">
        <v>2</v>
      </c>
      <c r="AK19" s="149" t="s">
        <v>228</v>
      </c>
      <c r="AL19" s="149" t="s">
        <v>227</v>
      </c>
      <c r="AM19" s="149" t="s">
        <v>229</v>
      </c>
      <c r="AN19" s="149" t="s">
        <v>230</v>
      </c>
      <c r="AO19" s="149" t="s">
        <v>232</v>
      </c>
      <c r="AP19" s="149" t="s">
        <v>233</v>
      </c>
      <c r="AQ19" s="149" t="s">
        <v>234</v>
      </c>
      <c r="AR19" s="152" t="s">
        <v>1</v>
      </c>
      <c r="AS19" s="148" t="s">
        <v>2</v>
      </c>
      <c r="AT19" s="148" t="s">
        <v>228</v>
      </c>
      <c r="AU19" s="148" t="s">
        <v>227</v>
      </c>
      <c r="AV19" s="148" t="s">
        <v>229</v>
      </c>
      <c r="AW19" s="148" t="s">
        <v>230</v>
      </c>
      <c r="AX19" s="148" t="s">
        <v>232</v>
      </c>
      <c r="AY19" s="148" t="s">
        <v>233</v>
      </c>
      <c r="AZ19" s="148" t="s">
        <v>234</v>
      </c>
      <c r="BO19" s="28" t="s">
        <v>166</v>
      </c>
      <c r="BP19" s="1">
        <v>0.14791083881682041</v>
      </c>
      <c r="BQ19" s="1">
        <v>302.83286164202235</v>
      </c>
      <c r="BR19" s="1">
        <v>45.159627849685336</v>
      </c>
      <c r="BS19" s="1">
        <v>71.458731811447109</v>
      </c>
      <c r="BT19" s="1">
        <v>12.13176030390896</v>
      </c>
    </row>
    <row r="20" spans="1:106" s="85" customFormat="1" x14ac:dyDescent="0.25">
      <c r="A20" s="47"/>
      <c r="B20" s="30"/>
      <c r="C20" s="29"/>
      <c r="D20" s="29"/>
      <c r="E20" s="46"/>
      <c r="F20" s="5"/>
      <c r="G20" s="5"/>
      <c r="H20" s="73"/>
      <c r="I20" s="76"/>
      <c r="J20" s="80"/>
      <c r="K20" s="84"/>
      <c r="N20" s="68"/>
      <c r="O20" s="68"/>
      <c r="P20" s="156"/>
      <c r="Q20" s="157"/>
      <c r="R20" s="2"/>
      <c r="S20" s="2"/>
      <c r="T20" s="156"/>
      <c r="U20" s="157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170"/>
      <c r="AG20" s="156"/>
      <c r="AH20" s="43" t="s">
        <v>166</v>
      </c>
      <c r="AI20" s="159">
        <v>4.537064492216456</v>
      </c>
      <c r="AJ20" s="65">
        <v>3.6064106007699883</v>
      </c>
      <c r="AK20" s="65">
        <v>0.41628745130874806</v>
      </c>
      <c r="AL20" s="65">
        <v>4.6157307951942552E-3</v>
      </c>
      <c r="AM20" s="65">
        <v>1.2746671702388822E-2</v>
      </c>
      <c r="AN20" s="65">
        <v>7.1702670886269471E-2</v>
      </c>
      <c r="AO20" s="195">
        <v>1.7791853110460721E-4</v>
      </c>
      <c r="AP20" s="195">
        <v>4.2119450762362061E-4</v>
      </c>
      <c r="AQ20" s="195">
        <v>1.3155421913174216E-3</v>
      </c>
      <c r="AR20" s="157">
        <f t="shared" ref="AR20:AZ21" si="54">U4+AH4</f>
        <v>13.328391401037806</v>
      </c>
      <c r="AS20" s="170">
        <f t="shared" si="54"/>
        <v>9.4719312382487235</v>
      </c>
      <c r="AT20" s="170">
        <f t="shared" si="54"/>
        <v>1.0912301139466307</v>
      </c>
      <c r="AU20" s="170">
        <f t="shared" si="54"/>
        <v>1.4039514502049193E-2</v>
      </c>
      <c r="AV20" s="170">
        <f t="shared" si="54"/>
        <v>2.7696471847165831E-2</v>
      </c>
      <c r="AW20" s="170">
        <f t="shared" si="54"/>
        <v>0.1295185167106806</v>
      </c>
      <c r="AX20" s="170">
        <f t="shared" si="54"/>
        <v>3.5583706220921441E-4</v>
      </c>
      <c r="AY20" s="170">
        <f t="shared" si="54"/>
        <v>7.5815011372251705E-4</v>
      </c>
      <c r="AZ20" s="170">
        <f t="shared" si="54"/>
        <v>4.6357201027375809E-3</v>
      </c>
      <c r="BA20" s="33"/>
      <c r="BB20" s="33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28"/>
      <c r="BP20" s="1"/>
      <c r="BQ20" s="1"/>
      <c r="BR20" s="1"/>
      <c r="BS20" s="1"/>
      <c r="BT20" s="1"/>
      <c r="BU20" s="1">
        <v>62.050279145016773</v>
      </c>
      <c r="BV20" s="1">
        <v>21.301952464071096</v>
      </c>
      <c r="BW20" s="4">
        <v>74.084981268839016</v>
      </c>
      <c r="BX20" s="4">
        <v>4.1231549006771813</v>
      </c>
      <c r="BY20" s="180">
        <v>6.3125315654440697E-2</v>
      </c>
      <c r="BZ20" s="50">
        <v>210.30078665581024</v>
      </c>
      <c r="CA20" s="63">
        <v>35.587094755821454</v>
      </c>
      <c r="CB20" s="3"/>
      <c r="CC20" s="3"/>
      <c r="CD20" s="179"/>
      <c r="CE20" s="2"/>
      <c r="CF20" s="2"/>
      <c r="CG20" s="3"/>
      <c r="CH20" s="179"/>
      <c r="CI20" s="179"/>
      <c r="CJ20" s="179"/>
      <c r="CK20" s="179"/>
      <c r="CL20" s="179"/>
      <c r="CM20" s="179"/>
      <c r="CN20" s="179"/>
      <c r="CO20" s="179"/>
      <c r="CP20" s="3"/>
      <c r="CQ20" s="179"/>
      <c r="CR20" s="179"/>
      <c r="CS20" s="179"/>
      <c r="CT20" s="179"/>
      <c r="CU20" s="179"/>
      <c r="CV20" s="179"/>
      <c r="CW20" s="179"/>
      <c r="CX20" s="179"/>
      <c r="CY20" s="3"/>
      <c r="CZ20" s="183"/>
      <c r="DA20" s="184"/>
      <c r="DB20" s="184"/>
    </row>
    <row r="21" spans="1:106" s="85" customFormat="1" x14ac:dyDescent="0.25">
      <c r="A21" s="47"/>
      <c r="B21" s="30"/>
      <c r="C21" s="29"/>
      <c r="D21" s="29"/>
      <c r="E21" s="46"/>
      <c r="F21" s="5"/>
      <c r="G21" s="5"/>
      <c r="H21" s="73"/>
      <c r="I21" s="76"/>
      <c r="J21" s="80"/>
      <c r="K21" s="84"/>
      <c r="N21" s="68"/>
      <c r="O21" s="68"/>
      <c r="P21" s="156"/>
      <c r="Q21" s="157"/>
      <c r="R21" s="2"/>
      <c r="S21" s="2"/>
      <c r="T21" s="156"/>
      <c r="U21" s="157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170"/>
      <c r="AG21" s="156"/>
      <c r="AH21" s="29" t="s">
        <v>170</v>
      </c>
      <c r="AI21" s="157">
        <v>3.8257968865826539</v>
      </c>
      <c r="AJ21" s="2">
        <v>3.5027307726743668</v>
      </c>
      <c r="AK21" s="2">
        <v>0.12869052386326404</v>
      </c>
      <c r="AL21" s="2">
        <v>5.0003750281271096E-3</v>
      </c>
      <c r="AM21" s="2">
        <v>1.3848235923582917E-2</v>
      </c>
      <c r="AN21" s="2">
        <v>4.6171016221009338E-2</v>
      </c>
      <c r="AO21" s="68">
        <v>8.8959265552303603E-5</v>
      </c>
      <c r="AP21" s="68">
        <v>5.8967231067306894E-4</v>
      </c>
      <c r="AQ21" s="68">
        <v>1.0023178600513688E-3</v>
      </c>
      <c r="AR21" s="157">
        <f t="shared" si="54"/>
        <v>11.210155670867309</v>
      </c>
      <c r="AS21" s="170">
        <f t="shared" si="54"/>
        <v>8.7732115677321154</v>
      </c>
      <c r="AT21" s="170">
        <f t="shared" si="54"/>
        <v>0.46834613564381666</v>
      </c>
      <c r="AU21" s="170">
        <f t="shared" si="54"/>
        <v>1.5193447200847757E-2</v>
      </c>
      <c r="AV21" s="170">
        <f t="shared" si="54"/>
        <v>3.1001164510748122E-2</v>
      </c>
      <c r="AW21" s="170">
        <f t="shared" si="54"/>
        <v>9.5115647606754228E-2</v>
      </c>
      <c r="AX21" s="170">
        <f t="shared" si="54"/>
        <v>1.7791853110460721E-4</v>
      </c>
      <c r="AY21" s="170">
        <f t="shared" si="54"/>
        <v>9.2662791677196538E-4</v>
      </c>
      <c r="AZ21" s="170">
        <f t="shared" si="54"/>
        <v>3.4454676439265803E-3</v>
      </c>
      <c r="BA21" s="33"/>
      <c r="BB21" s="33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28"/>
      <c r="BP21" s="1"/>
      <c r="BQ21" s="1"/>
      <c r="BR21" s="1"/>
      <c r="BS21" s="1"/>
      <c r="BT21" s="1"/>
      <c r="BU21" s="1"/>
      <c r="BV21" s="1"/>
      <c r="BW21" s="4"/>
      <c r="BX21" s="4"/>
      <c r="BY21" s="180"/>
      <c r="BZ21" s="50"/>
      <c r="CB21" s="3"/>
      <c r="CC21" s="3"/>
      <c r="CD21" s="179"/>
      <c r="CE21" s="2"/>
      <c r="CF21" s="2"/>
      <c r="CG21" s="3"/>
      <c r="CH21" s="179"/>
      <c r="CI21" s="179"/>
      <c r="CJ21" s="179"/>
      <c r="CK21" s="179"/>
      <c r="CL21" s="179"/>
      <c r="CM21" s="179"/>
      <c r="CN21" s="179"/>
      <c r="CO21" s="179"/>
      <c r="CP21" s="3"/>
      <c r="CQ21" s="179"/>
      <c r="CR21" s="179"/>
      <c r="CS21" s="179"/>
      <c r="CT21" s="179"/>
      <c r="CU21" s="179"/>
      <c r="CV21" s="179"/>
      <c r="CW21" s="179"/>
      <c r="CX21" s="179"/>
      <c r="CY21" s="3"/>
      <c r="CZ21" s="183"/>
      <c r="DA21" s="184"/>
      <c r="DB21" s="184"/>
    </row>
    <row r="22" spans="1:106" x14ac:dyDescent="0.25">
      <c r="F22" s="5"/>
      <c r="G22" s="5"/>
      <c r="H22" s="73"/>
      <c r="I22" s="76"/>
      <c r="J22" s="80"/>
      <c r="K22" s="84"/>
      <c r="AH22" s="29" t="s">
        <v>173</v>
      </c>
      <c r="AI22" s="157">
        <v>3.6186063750926611</v>
      </c>
      <c r="AJ22" s="2">
        <v>2.2494404154355809</v>
      </c>
      <c r="AK22" s="2">
        <v>0.17274017983909135</v>
      </c>
      <c r="AL22" s="2">
        <v>1.5193447200847757E-2</v>
      </c>
      <c r="AM22" s="2">
        <v>2.4391779183583547E-2</v>
      </c>
      <c r="AN22" s="2">
        <v>6.0083474751181025E-2</v>
      </c>
      <c r="AO22" s="68">
        <v>8.8959265552303603E-5</v>
      </c>
      <c r="AP22" s="68">
        <v>4.2119450762362061E-4</v>
      </c>
      <c r="AQ22" s="68">
        <v>2.3178600513687904E-3</v>
      </c>
      <c r="AR22" s="157">
        <f t="shared" ref="AR22:AZ28" si="55">U7+AH7</f>
        <v>46.174944403261676</v>
      </c>
      <c r="AS22" s="170">
        <f t="shared" si="55"/>
        <v>20.478467185961144</v>
      </c>
      <c r="AT22" s="170">
        <f t="shared" si="55"/>
        <v>0.6068659215843315</v>
      </c>
      <c r="AU22" s="170">
        <f t="shared" si="55"/>
        <v>7.1736149441977384E-2</v>
      </c>
      <c r="AV22" s="170">
        <f t="shared" si="55"/>
        <v>7.6794762848959808E-2</v>
      </c>
      <c r="AW22" s="170">
        <f t="shared" si="55"/>
        <v>0.21792991097020828</v>
      </c>
      <c r="AX22" s="170">
        <f t="shared" si="55"/>
        <v>4.4479632776151803E-4</v>
      </c>
      <c r="AY22" s="170">
        <f t="shared" si="55"/>
        <v>1.4320613259203099E-3</v>
      </c>
      <c r="AZ22" s="170">
        <f t="shared" si="55"/>
        <v>1.8699492576583349E-2</v>
      </c>
      <c r="BO22" s="190" t="s">
        <v>170</v>
      </c>
      <c r="BP22" s="1">
        <v>0.25118864315095779</v>
      </c>
      <c r="BQ22" s="1">
        <v>421.74089610535339</v>
      </c>
      <c r="BR22" s="1">
        <v>73.826619404587504</v>
      </c>
      <c r="BS22" s="1">
        <v>117.0823156054133</v>
      </c>
      <c r="BT22" s="1">
        <v>15.541342350423452</v>
      </c>
      <c r="BY22" s="180"/>
    </row>
    <row r="23" spans="1:106" s="85" customFormat="1" x14ac:dyDescent="0.25">
      <c r="A23" s="47"/>
      <c r="B23" s="30"/>
      <c r="C23" s="29"/>
      <c r="D23" s="29"/>
      <c r="E23" s="46"/>
      <c r="F23" s="5"/>
      <c r="G23" s="5"/>
      <c r="H23" s="73"/>
      <c r="I23" s="76"/>
      <c r="J23" s="80"/>
      <c r="K23" s="84"/>
      <c r="N23" s="68"/>
      <c r="O23" s="68"/>
      <c r="P23" s="156"/>
      <c r="Q23" s="157"/>
      <c r="R23" s="2"/>
      <c r="S23" s="2"/>
      <c r="T23" s="156"/>
      <c r="U23" s="157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170"/>
      <c r="AG23" s="156"/>
      <c r="AH23" s="29" t="s">
        <v>174</v>
      </c>
      <c r="AI23" s="157">
        <v>1.1901408450704225</v>
      </c>
      <c r="AJ23" s="2">
        <v>2.2585728355269046</v>
      </c>
      <c r="AK23" s="2">
        <v>4.4959772834831997E-2</v>
      </c>
      <c r="AL23" s="2">
        <v>2.269400974303842E-2</v>
      </c>
      <c r="AM23" s="2">
        <v>4.2016806722689072E-2</v>
      </c>
      <c r="AN23" s="2">
        <v>1.4371111009188337E-2</v>
      </c>
      <c r="AO23" s="68">
        <v>0</v>
      </c>
      <c r="AP23" s="68">
        <v>2.5271670457417233E-4</v>
      </c>
      <c r="AQ23" s="68">
        <v>2.6937292488880536E-3</v>
      </c>
      <c r="AR23" s="157">
        <f t="shared" si="55"/>
        <v>6.9581171237954038</v>
      </c>
      <c r="AS23" s="170">
        <f t="shared" si="55"/>
        <v>6.3873220521085141</v>
      </c>
      <c r="AT23" s="170">
        <f t="shared" si="55"/>
        <v>1.1014234227674833</v>
      </c>
      <c r="AU23" s="170">
        <f t="shared" si="55"/>
        <v>5.2119293562401796E-2</v>
      </c>
      <c r="AV23" s="170">
        <f t="shared" si="55"/>
        <v>8.686620715702012E-2</v>
      </c>
      <c r="AW23" s="170">
        <f t="shared" si="55"/>
        <v>2.9054500424911801E-2</v>
      </c>
      <c r="AX23" s="170">
        <f t="shared" si="55"/>
        <v>1.7791853110460721E-4</v>
      </c>
      <c r="AY23" s="170">
        <f t="shared" si="55"/>
        <v>5.0543340914834466E-4</v>
      </c>
      <c r="AZ23" s="170">
        <f t="shared" si="55"/>
        <v>4.6043976696109757E-3</v>
      </c>
      <c r="BA23" s="33"/>
      <c r="BB23" s="33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90"/>
      <c r="BP23" s="1"/>
      <c r="BQ23" s="1"/>
      <c r="BR23" s="1"/>
      <c r="BS23" s="1"/>
      <c r="BT23" s="1"/>
      <c r="BU23" s="1">
        <v>98.831544636916732</v>
      </c>
      <c r="BV23" s="1">
        <v>22.580694820869834</v>
      </c>
      <c r="BW23" s="4">
        <v>104.5369364671419</v>
      </c>
      <c r="BX23" s="4">
        <v>4.3760855852845566</v>
      </c>
      <c r="BY23" s="180">
        <v>0.13831398612250556</v>
      </c>
      <c r="BZ23" s="50">
        <v>315.150491258344</v>
      </c>
      <c r="CA23" s="63">
        <v>34.578714750085958</v>
      </c>
      <c r="CB23" s="3"/>
      <c r="CC23" s="3"/>
      <c r="CD23" s="179"/>
      <c r="CE23" s="2"/>
      <c r="CF23" s="2"/>
      <c r="CG23" s="3"/>
      <c r="CH23" s="179"/>
      <c r="CI23" s="179"/>
      <c r="CJ23" s="179"/>
      <c r="CK23" s="179"/>
      <c r="CL23" s="179"/>
      <c r="CM23" s="179"/>
      <c r="CN23" s="179"/>
      <c r="CO23" s="179"/>
      <c r="CP23" s="3"/>
      <c r="CQ23" s="179"/>
      <c r="CR23" s="179"/>
      <c r="CS23" s="179"/>
      <c r="CT23" s="179"/>
      <c r="CU23" s="179"/>
      <c r="CV23" s="179"/>
      <c r="CW23" s="179"/>
      <c r="CX23" s="179"/>
      <c r="CY23" s="3"/>
      <c r="CZ23" s="183"/>
      <c r="DA23" s="184"/>
      <c r="DB23" s="184"/>
    </row>
    <row r="24" spans="1:106" s="85" customFormat="1" x14ac:dyDescent="0.25">
      <c r="A24" s="47"/>
      <c r="B24" s="30"/>
      <c r="C24" s="29"/>
      <c r="D24" s="29"/>
      <c r="E24" s="46"/>
      <c r="F24" s="5"/>
      <c r="G24" s="5"/>
      <c r="H24" s="73"/>
      <c r="I24" s="76"/>
      <c r="J24" s="80"/>
      <c r="K24" s="84"/>
      <c r="N24" s="68"/>
      <c r="O24" s="68"/>
      <c r="P24" s="156"/>
      <c r="Q24" s="157"/>
      <c r="R24" s="2"/>
      <c r="S24" s="2"/>
      <c r="T24" s="156"/>
      <c r="U24" s="157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170"/>
      <c r="AG24" s="156"/>
      <c r="AH24" s="29" t="s">
        <v>177</v>
      </c>
      <c r="AI24" s="157">
        <v>0.70570793180133429</v>
      </c>
      <c r="AJ24" s="2">
        <v>2.1196167964902859</v>
      </c>
      <c r="AK24" s="2">
        <v>0.12869052386326404</v>
      </c>
      <c r="AL24" s="2">
        <v>2.6732774188833391E-2</v>
      </c>
      <c r="AM24" s="2">
        <v>3.8240015107166465E-2</v>
      </c>
      <c r="AN24" s="2">
        <v>2.4308581387882399E-2</v>
      </c>
      <c r="AO24" s="68">
        <v>0</v>
      </c>
      <c r="AP24" s="68">
        <v>2.5271670457417233E-4</v>
      </c>
      <c r="AQ24" s="196">
        <v>1.5661216563302638E-4</v>
      </c>
      <c r="AR24" s="157">
        <f t="shared" si="55"/>
        <v>4.1004447739065979</v>
      </c>
      <c r="AS24" s="170">
        <f t="shared" si="55"/>
        <v>4.8996329125257407</v>
      </c>
      <c r="AT24" s="170">
        <f t="shared" si="55"/>
        <v>0.33328479376751974</v>
      </c>
      <c r="AU24" s="170">
        <f t="shared" si="55"/>
        <v>5.6927346474062474E-2</v>
      </c>
      <c r="AV24" s="170">
        <f t="shared" si="55"/>
        <v>8.0414188147168983E-2</v>
      </c>
      <c r="AW24" s="170">
        <f t="shared" si="55"/>
        <v>4.1286250399812652E-2</v>
      </c>
      <c r="AX24" s="170">
        <f t="shared" si="55"/>
        <v>8.8959265552303603E-5</v>
      </c>
      <c r="AY24" s="170">
        <f t="shared" si="55"/>
        <v>5.0543340914834466E-4</v>
      </c>
      <c r="AZ24" s="170">
        <f t="shared" si="55"/>
        <v>1.8793459875963165E-3</v>
      </c>
      <c r="BA24" s="33"/>
      <c r="BB24" s="33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90"/>
      <c r="BP24" s="1"/>
      <c r="BQ24" s="1"/>
      <c r="BR24" s="1"/>
      <c r="BS24" s="1"/>
      <c r="BT24" s="1"/>
      <c r="BU24" s="1"/>
      <c r="BV24" s="1"/>
      <c r="BW24" s="4"/>
      <c r="BX24" s="4"/>
      <c r="BY24" s="180"/>
      <c r="BZ24" s="50"/>
      <c r="CB24" s="3"/>
      <c r="CC24" s="3"/>
      <c r="CD24" s="179"/>
      <c r="CE24" s="2"/>
      <c r="CF24" s="2"/>
      <c r="CG24" s="3"/>
      <c r="CH24" s="179"/>
      <c r="CI24" s="179"/>
      <c r="CJ24" s="179"/>
      <c r="CK24" s="179"/>
      <c r="CL24" s="179"/>
      <c r="CM24" s="179"/>
      <c r="CN24" s="179"/>
      <c r="CO24" s="179"/>
      <c r="CP24" s="3"/>
      <c r="CQ24" s="179"/>
      <c r="CR24" s="179"/>
      <c r="CS24" s="179"/>
      <c r="CT24" s="179"/>
      <c r="CU24" s="179"/>
      <c r="CV24" s="179"/>
      <c r="CW24" s="179"/>
      <c r="CX24" s="179"/>
      <c r="CY24" s="3"/>
      <c r="CZ24" s="183"/>
      <c r="DA24" s="184"/>
      <c r="DB24" s="184"/>
    </row>
    <row r="25" spans="1:106" x14ac:dyDescent="0.25">
      <c r="F25" s="5"/>
      <c r="G25" s="5"/>
      <c r="H25" s="73"/>
      <c r="I25" s="76"/>
      <c r="J25" s="80"/>
      <c r="K25" s="84"/>
      <c r="AH25" s="29" t="s">
        <v>179</v>
      </c>
      <c r="AI25" s="157">
        <v>0.20978502594514456</v>
      </c>
      <c r="AJ25" s="2">
        <v>2.3840988450174589</v>
      </c>
      <c r="AK25" s="2">
        <v>0.50329462302959693</v>
      </c>
      <c r="AL25" s="170">
        <v>2.4809553024169123E-2</v>
      </c>
      <c r="AM25" s="170">
        <v>2.9899600289554022E-2</v>
      </c>
      <c r="AN25" s="2">
        <v>4.9381583574125879E-2</v>
      </c>
      <c r="AO25" s="68">
        <v>0</v>
      </c>
      <c r="AP25" s="68">
        <v>6.7391121219779299E-4</v>
      </c>
      <c r="AQ25" s="199">
        <v>1.8793459875963165E-4</v>
      </c>
      <c r="AR25" s="157">
        <f t="shared" si="55"/>
        <v>2.0303928836174943</v>
      </c>
      <c r="AS25" s="170">
        <f t="shared" si="55"/>
        <v>4.4548303339600679</v>
      </c>
      <c r="AT25" s="170">
        <f t="shared" si="55"/>
        <v>1.2355746477847753</v>
      </c>
      <c r="AU25" s="170">
        <f t="shared" si="55"/>
        <v>5.0196072397737532E-2</v>
      </c>
      <c r="AV25" s="170">
        <f t="shared" si="55"/>
        <v>6.1058131117615586E-2</v>
      </c>
      <c r="AW25" s="170">
        <f t="shared" si="55"/>
        <v>7.0641907832308809E-2</v>
      </c>
      <c r="AX25" s="170">
        <f t="shared" si="55"/>
        <v>8.8959265552303603E-5</v>
      </c>
      <c r="AY25" s="170">
        <f t="shared" si="55"/>
        <v>9.2662791677196538E-4</v>
      </c>
      <c r="AZ25" s="170">
        <f t="shared" si="55"/>
        <v>1.12760759255779E-3</v>
      </c>
      <c r="BO25" s="190" t="s">
        <v>186</v>
      </c>
      <c r="BP25" s="1">
        <v>0.20892961308540389</v>
      </c>
      <c r="BQ25" s="1">
        <v>129.26137519727158</v>
      </c>
      <c r="BR25" s="1">
        <v>15.522682527521889</v>
      </c>
      <c r="BS25" s="1">
        <v>44.38033029698353</v>
      </c>
      <c r="BT25" s="1">
        <v>8.3033173846536528</v>
      </c>
      <c r="BY25" s="180"/>
    </row>
    <row r="26" spans="1:106" s="85" customFormat="1" x14ac:dyDescent="0.25">
      <c r="A26" s="47"/>
      <c r="B26" s="30"/>
      <c r="C26" s="29"/>
      <c r="D26" s="29"/>
      <c r="E26" s="46"/>
      <c r="F26" s="5"/>
      <c r="G26" s="5"/>
      <c r="H26" s="73"/>
      <c r="I26" s="76"/>
      <c r="J26" s="80"/>
      <c r="K26" s="84"/>
      <c r="N26" s="68"/>
      <c r="O26" s="68"/>
      <c r="P26" s="156"/>
      <c r="Q26" s="157"/>
      <c r="R26" s="2"/>
      <c r="S26" s="2"/>
      <c r="T26" s="156"/>
      <c r="U26" s="157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170"/>
      <c r="AG26" s="156"/>
      <c r="AH26" s="29" t="s">
        <v>181</v>
      </c>
      <c r="AI26" s="157">
        <v>3.7368421052631575</v>
      </c>
      <c r="AJ26" s="2">
        <v>5.4939564867042705</v>
      </c>
      <c r="AK26" s="2">
        <v>0.46215734100258471</v>
      </c>
      <c r="AL26" s="2">
        <v>1.5385769317314184E-2</v>
      </c>
      <c r="AM26" s="2">
        <v>1.258930538507538E-2</v>
      </c>
      <c r="AN26" s="2">
        <v>5.4732529162653455E-2</v>
      </c>
      <c r="AO26" s="68">
        <v>8.8959265552303603E-5</v>
      </c>
      <c r="AP26" s="68">
        <v>2.5271670457417233E-4</v>
      </c>
      <c r="AQ26" s="68">
        <v>1.0649627263045792E-3</v>
      </c>
      <c r="AR26" s="157">
        <f t="shared" si="55"/>
        <v>11.355819125277982</v>
      </c>
      <c r="AS26" s="170">
        <f t="shared" si="55"/>
        <v>14.213985137433969</v>
      </c>
      <c r="AT26" s="170">
        <f t="shared" si="55"/>
        <v>1.2231970585023118</v>
      </c>
      <c r="AU26" s="170">
        <f t="shared" si="55"/>
        <v>3.5579591546289049E-2</v>
      </c>
      <c r="AV26" s="170">
        <f t="shared" si="55"/>
        <v>2.8011204481792718E-2</v>
      </c>
      <c r="AW26" s="170">
        <f t="shared" si="55"/>
        <v>0.10122992897911109</v>
      </c>
      <c r="AX26" s="170">
        <f t="shared" si="55"/>
        <v>1.7791853110460721E-4</v>
      </c>
      <c r="AY26" s="170">
        <f t="shared" si="55"/>
        <v>7.5815011372251705E-4</v>
      </c>
      <c r="AZ26" s="170">
        <f t="shared" si="55"/>
        <v>3.4454676439265803E-3</v>
      </c>
      <c r="BA26" s="33"/>
      <c r="BB26" s="33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90"/>
      <c r="BP26" s="1"/>
      <c r="BQ26" s="1"/>
      <c r="BR26" s="1"/>
      <c r="BS26" s="1"/>
      <c r="BT26" s="1"/>
      <c r="BU26" s="1">
        <v>42.876114277136558</v>
      </c>
      <c r="BV26" s="1">
        <v>19.495707505041018</v>
      </c>
      <c r="BW26" s="4">
        <v>45.668162762036026</v>
      </c>
      <c r="BX26" s="4">
        <v>3.5626360733597537</v>
      </c>
      <c r="BY26" s="180">
        <v>1.2999535342397457E-2</v>
      </c>
      <c r="BZ26" s="50">
        <v>80.275484903459301</v>
      </c>
      <c r="CA26" s="63">
        <v>25.30793431239659</v>
      </c>
      <c r="CB26" s="3"/>
      <c r="CC26" s="3"/>
      <c r="CD26" s="179"/>
      <c r="CE26" s="2"/>
      <c r="CF26" s="2"/>
      <c r="CG26" s="3"/>
      <c r="CH26" s="179"/>
      <c r="CI26" s="179"/>
      <c r="CJ26" s="179"/>
      <c r="CK26" s="179"/>
      <c r="CL26" s="179"/>
      <c r="CM26" s="179"/>
      <c r="CN26" s="179"/>
      <c r="CO26" s="179"/>
      <c r="CP26" s="3"/>
      <c r="CQ26" s="179"/>
      <c r="CR26" s="179"/>
      <c r="CS26" s="179"/>
      <c r="CT26" s="179"/>
      <c r="CU26" s="179"/>
      <c r="CV26" s="179"/>
      <c r="CW26" s="179"/>
      <c r="CX26" s="179"/>
      <c r="CY26" s="3"/>
      <c r="CZ26" s="183"/>
      <c r="DA26" s="184"/>
      <c r="DB26" s="184"/>
    </row>
    <row r="27" spans="1:106" s="85" customFormat="1" x14ac:dyDescent="0.25">
      <c r="A27" s="47"/>
      <c r="B27" s="30"/>
      <c r="C27" s="29"/>
      <c r="D27" s="29"/>
      <c r="E27" s="46"/>
      <c r="F27" s="5"/>
      <c r="G27" s="5"/>
      <c r="H27" s="73"/>
      <c r="I27" s="76"/>
      <c r="J27" s="80"/>
      <c r="K27" s="84"/>
      <c r="N27" s="68"/>
      <c r="O27" s="68"/>
      <c r="P27" s="156"/>
      <c r="Q27" s="157"/>
      <c r="R27" s="2"/>
      <c r="S27" s="2"/>
      <c r="T27" s="156"/>
      <c r="U27" s="157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70"/>
      <c r="AG27" s="156"/>
      <c r="AH27" s="88" t="s">
        <v>182</v>
      </c>
      <c r="AI27" s="157">
        <v>1.1982950333580429</v>
      </c>
      <c r="AJ27" s="2">
        <v>4.179783328856657</v>
      </c>
      <c r="AK27" s="2">
        <v>0.83111871564308848</v>
      </c>
      <c r="AL27" s="2">
        <v>2.1347754927773431E-2</v>
      </c>
      <c r="AM27" s="2">
        <v>3.9498945645673994E-2</v>
      </c>
      <c r="AN27" s="2">
        <v>3.0729716094115483E-2</v>
      </c>
      <c r="AO27" s="68">
        <v>0</v>
      </c>
      <c r="AP27" s="68">
        <v>5.0543340914834466E-4</v>
      </c>
      <c r="AQ27" s="68">
        <v>1.033640293177974E-3</v>
      </c>
      <c r="AR27" s="157">
        <f t="shared" si="55"/>
        <v>9.0896960711638251</v>
      </c>
      <c r="AS27" s="170">
        <f t="shared" si="55"/>
        <v>11.707583490017011</v>
      </c>
      <c r="AT27" s="170">
        <f t="shared" si="55"/>
        <v>1.8040336379191086</v>
      </c>
      <c r="AU27" s="170">
        <f t="shared" si="55"/>
        <v>4.8080529116606818E-2</v>
      </c>
      <c r="AV27" s="170">
        <f t="shared" si="55"/>
        <v>8.5764642935826002E-2</v>
      </c>
      <c r="AW27" s="170">
        <f t="shared" si="55"/>
        <v>7.0650181068113646E-2</v>
      </c>
      <c r="AX27" s="170">
        <f t="shared" si="55"/>
        <v>8.8959265552303603E-5</v>
      </c>
      <c r="AY27" s="170">
        <f t="shared" si="55"/>
        <v>8.4238901524724122E-4</v>
      </c>
      <c r="AZ27" s="170">
        <f t="shared" si="55"/>
        <v>4.7610098352440016E-3</v>
      </c>
      <c r="BA27" s="33"/>
      <c r="BB27" s="33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90"/>
      <c r="BP27" s="1"/>
      <c r="BQ27" s="1"/>
      <c r="BR27" s="1"/>
      <c r="BS27" s="1"/>
      <c r="BT27" s="1"/>
      <c r="BU27" s="1"/>
      <c r="BV27" s="1"/>
      <c r="BW27" s="4"/>
      <c r="BX27" s="4"/>
      <c r="BY27" s="180"/>
      <c r="BZ27" s="50"/>
      <c r="CB27" s="3"/>
      <c r="CC27" s="3"/>
      <c r="CD27" s="179"/>
      <c r="CE27" s="2"/>
      <c r="CF27" s="2"/>
      <c r="CG27" s="3"/>
      <c r="CH27" s="179"/>
      <c r="CI27" s="179"/>
      <c r="CJ27" s="179"/>
      <c r="CK27" s="179"/>
      <c r="CL27" s="179"/>
      <c r="CM27" s="179"/>
      <c r="CN27" s="179"/>
      <c r="CO27" s="179"/>
      <c r="CP27" s="3"/>
      <c r="CQ27" s="179"/>
      <c r="CR27" s="179"/>
      <c r="CS27" s="179"/>
      <c r="CT27" s="179"/>
      <c r="CU27" s="179"/>
      <c r="CV27" s="179"/>
      <c r="CW27" s="179"/>
      <c r="CX27" s="179"/>
      <c r="CY27" s="3"/>
      <c r="CZ27" s="183"/>
      <c r="DA27" s="184"/>
      <c r="DB27" s="184"/>
    </row>
    <row r="28" spans="1:106" x14ac:dyDescent="0.25">
      <c r="F28" s="5"/>
      <c r="G28" s="5"/>
      <c r="H28" s="73"/>
      <c r="I28" s="76"/>
      <c r="J28" s="80"/>
      <c r="K28" s="84"/>
      <c r="AG28" s="171"/>
      <c r="AH28" s="29" t="s">
        <v>185</v>
      </c>
      <c r="AI28" s="157">
        <v>0.28020756115641215</v>
      </c>
      <c r="AJ28" s="2">
        <v>0.97591548034739006</v>
      </c>
      <c r="AK28" s="2">
        <v>3.640467436018785E-3</v>
      </c>
      <c r="AL28" s="170">
        <v>4.0387644457949732E-3</v>
      </c>
      <c r="AM28" s="170">
        <v>8.3404148176124387E-3</v>
      </c>
      <c r="AN28" s="2">
        <v>2.5378770505587914E-2</v>
      </c>
      <c r="AO28" s="68">
        <v>0</v>
      </c>
      <c r="AP28" s="68">
        <v>4.2119450762362061E-4</v>
      </c>
      <c r="AQ28" s="200">
        <v>6.2644866253210553E-5</v>
      </c>
      <c r="AR28" s="157">
        <f t="shared" si="55"/>
        <v>1.5763528539659006</v>
      </c>
      <c r="AS28" s="170">
        <f t="shared" si="55"/>
        <v>1.674097949682156</v>
      </c>
      <c r="AT28" s="170">
        <f t="shared" si="55"/>
        <v>3.4584440642178457E-2</v>
      </c>
      <c r="AU28" s="170">
        <f t="shared" si="55"/>
        <v>9.616105823321364E-3</v>
      </c>
      <c r="AV28" s="170">
        <f t="shared" si="55"/>
        <v>1.7625027539105532E-2</v>
      </c>
      <c r="AW28" s="170">
        <f t="shared" si="55"/>
        <v>5.000403817154081E-2</v>
      </c>
      <c r="AX28" s="170">
        <f t="shared" si="55"/>
        <v>8.8959265552303603E-5</v>
      </c>
      <c r="AY28" s="170">
        <f t="shared" si="55"/>
        <v>5.8967231067306883E-4</v>
      </c>
      <c r="AZ28" s="170">
        <f t="shared" si="55"/>
        <v>6.890935287853161E-4</v>
      </c>
      <c r="BO28" s="190" t="s">
        <v>173</v>
      </c>
      <c r="BP28" s="1">
        <v>2.9512092266663778E-2</v>
      </c>
      <c r="BQ28" s="1">
        <v>464.1344049527238</v>
      </c>
      <c r="BR28" s="1">
        <v>150.9570562913604</v>
      </c>
      <c r="BS28" s="1">
        <v>535.55439243163823</v>
      </c>
      <c r="BT28" s="1">
        <v>31.34580972580056</v>
      </c>
      <c r="BY28" s="180"/>
    </row>
    <row r="29" spans="1:106" s="85" customFormat="1" x14ac:dyDescent="0.25">
      <c r="A29" s="47"/>
      <c r="B29" s="30"/>
      <c r="C29" s="29"/>
      <c r="D29" s="29"/>
      <c r="E29" s="46"/>
      <c r="F29" s="5"/>
      <c r="G29" s="5"/>
      <c r="H29" s="73"/>
      <c r="I29" s="76"/>
      <c r="J29" s="80"/>
      <c r="K29" s="84"/>
      <c r="N29" s="68"/>
      <c r="O29" s="68"/>
      <c r="P29" s="156"/>
      <c r="Q29" s="157"/>
      <c r="R29" s="2"/>
      <c r="S29" s="2"/>
      <c r="T29" s="156"/>
      <c r="U29" s="157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170"/>
      <c r="AG29" s="171"/>
      <c r="AH29" s="29" t="s">
        <v>186</v>
      </c>
      <c r="AI29" s="157">
        <v>7.0051890289103039E-2</v>
      </c>
      <c r="AJ29" s="2">
        <v>2.1113797117020323</v>
      </c>
      <c r="AK29" s="2">
        <v>2.5483272052131494E-3</v>
      </c>
      <c r="AL29" s="2">
        <v>1.1539326987985637E-2</v>
      </c>
      <c r="AM29" s="2">
        <v>1.1487741163881283E-2</v>
      </c>
      <c r="AN29" s="2">
        <v>4.1584491430842849E-2</v>
      </c>
      <c r="AO29" s="68">
        <v>0</v>
      </c>
      <c r="AP29" s="68">
        <v>3.369556060988965E-4</v>
      </c>
      <c r="AQ29" s="197">
        <v>6.2644866253210553E-5</v>
      </c>
      <c r="AR29" s="157">
        <f t="shared" ref="AR29:AZ29" si="56">U6+AH6</f>
        <v>4.2524091919940696</v>
      </c>
      <c r="AS29" s="170">
        <f t="shared" si="56"/>
        <v>3.3723699525472286</v>
      </c>
      <c r="AT29" s="170">
        <f t="shared" si="56"/>
        <v>0.12268375259383305</v>
      </c>
      <c r="AU29" s="170">
        <f t="shared" si="56"/>
        <v>1.8270601064310592E-2</v>
      </c>
      <c r="AV29" s="170">
        <f t="shared" si="56"/>
        <v>2.5021244452837314E-2</v>
      </c>
      <c r="AW29" s="170">
        <f t="shared" si="56"/>
        <v>0.10353004052842621</v>
      </c>
      <c r="AX29" s="170">
        <f t="shared" si="56"/>
        <v>1.7791853110460721E-4</v>
      </c>
      <c r="AY29" s="170">
        <f t="shared" si="56"/>
        <v>5.8967231067306883E-4</v>
      </c>
      <c r="AZ29" s="170">
        <f t="shared" si="56"/>
        <v>2.1925703188623688E-3</v>
      </c>
      <c r="BA29" s="33"/>
      <c r="BB29" s="33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90"/>
      <c r="BP29" s="1"/>
      <c r="BQ29" s="1"/>
      <c r="BR29" s="1"/>
      <c r="BS29" s="1"/>
      <c r="BT29" s="1"/>
      <c r="BU29" s="1">
        <v>140.95367723979746</v>
      </c>
      <c r="BV29" s="1">
        <v>20.094584251107008</v>
      </c>
      <c r="BW29" s="4">
        <v>466.43887578643898</v>
      </c>
      <c r="BX29" s="4">
        <v>4.5810414681776477</v>
      </c>
      <c r="BY29" s="180">
        <v>1.8425905167319754</v>
      </c>
      <c r="BZ29" s="50">
        <v>110.79899835272064</v>
      </c>
      <c r="CA29" s="63">
        <v>37.616236566537999</v>
      </c>
      <c r="CB29" s="3"/>
      <c r="CC29" s="3"/>
      <c r="CD29" s="179"/>
      <c r="CE29" s="2"/>
      <c r="CF29" s="2"/>
      <c r="CG29" s="3"/>
      <c r="CH29" s="179"/>
      <c r="CI29" s="179"/>
      <c r="CJ29" s="179"/>
      <c r="CK29" s="179"/>
      <c r="CL29" s="179"/>
      <c r="CM29" s="179"/>
      <c r="CN29" s="179"/>
      <c r="CO29" s="179"/>
      <c r="CP29" s="3"/>
      <c r="CQ29" s="179"/>
      <c r="CR29" s="179"/>
      <c r="CS29" s="179"/>
      <c r="CT29" s="179"/>
      <c r="CU29" s="179"/>
      <c r="CV29" s="179"/>
      <c r="CW29" s="179"/>
      <c r="CX29" s="179"/>
      <c r="CY29" s="3"/>
      <c r="CZ29" s="183"/>
      <c r="DA29" s="184"/>
      <c r="DB29" s="184"/>
    </row>
    <row r="30" spans="1:106" s="85" customFormat="1" x14ac:dyDescent="0.25">
      <c r="A30" s="47"/>
      <c r="B30" s="30"/>
      <c r="C30" s="29"/>
      <c r="D30" s="29"/>
      <c r="E30" s="46"/>
      <c r="F30" s="5"/>
      <c r="G30" s="5"/>
      <c r="H30" s="73"/>
      <c r="I30" s="76"/>
      <c r="J30" s="80"/>
      <c r="K30" s="84"/>
      <c r="N30" s="68"/>
      <c r="O30" s="68"/>
      <c r="P30" s="156"/>
      <c r="Q30" s="157"/>
      <c r="R30" s="2"/>
      <c r="S30" s="2"/>
      <c r="T30" s="156"/>
      <c r="U30" s="157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170"/>
      <c r="AG30" s="171"/>
      <c r="AH30" s="29" t="s">
        <v>188</v>
      </c>
      <c r="AI30" s="157">
        <v>2.3799110452186802</v>
      </c>
      <c r="AJ30" s="2">
        <v>1.1050228310502284</v>
      </c>
      <c r="AK30" s="2">
        <v>2.7121482398339947E-2</v>
      </c>
      <c r="AL30" s="2">
        <v>4.808052911660682E-3</v>
      </c>
      <c r="AM30" s="2">
        <v>1.1487741163881283E-2</v>
      </c>
      <c r="AN30" s="2">
        <v>5.9166169793147726E-2</v>
      </c>
      <c r="AO30" s="68">
        <v>8.8959265552303603E-5</v>
      </c>
      <c r="AP30" s="68">
        <v>3.369556060988965E-4</v>
      </c>
      <c r="AQ30" s="68">
        <v>4.3851406377247388E-4</v>
      </c>
      <c r="AR30" s="157">
        <f t="shared" ref="AR30:AZ30" si="57">U14+AH14</f>
        <v>3.9058561897702</v>
      </c>
      <c r="AS30" s="170">
        <f t="shared" si="57"/>
        <v>3.1168412570507655</v>
      </c>
      <c r="AT30" s="170">
        <f t="shared" si="57"/>
        <v>0.13342313153008845</v>
      </c>
      <c r="AU30" s="170">
        <f t="shared" si="57"/>
        <v>1.5578091433780611E-2</v>
      </c>
      <c r="AV30" s="170">
        <f t="shared" si="57"/>
        <v>2.3604947597016333E-2</v>
      </c>
      <c r="AW30" s="170">
        <f t="shared" si="57"/>
        <v>6.7731480285653081E-2</v>
      </c>
      <c r="AX30" s="170">
        <f t="shared" si="57"/>
        <v>1.7791853110460721E-4</v>
      </c>
      <c r="AY30" s="170">
        <f t="shared" si="57"/>
        <v>5.0543340914834477E-4</v>
      </c>
      <c r="AZ30" s="170">
        <f t="shared" si="57"/>
        <v>1.1589300256843952E-3</v>
      </c>
      <c r="BA30" s="33"/>
      <c r="BB30" s="33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90"/>
      <c r="BP30" s="1"/>
      <c r="BQ30" s="1"/>
      <c r="BR30" s="1"/>
      <c r="BS30" s="1"/>
      <c r="BT30" s="1"/>
      <c r="BU30" s="1"/>
      <c r="BV30" s="1"/>
      <c r="BW30" s="4"/>
      <c r="BX30" s="4"/>
      <c r="BY30" s="180"/>
      <c r="BZ30" s="50"/>
      <c r="CB30" s="3"/>
      <c r="CC30" s="3"/>
      <c r="CD30" s="179"/>
      <c r="CE30" s="2"/>
      <c r="CF30" s="2"/>
      <c r="CG30" s="3"/>
      <c r="CH30" s="179"/>
      <c r="CI30" s="179"/>
      <c r="CJ30" s="179"/>
      <c r="CK30" s="179"/>
      <c r="CL30" s="179"/>
      <c r="CM30" s="179"/>
      <c r="CN30" s="179"/>
      <c r="CO30" s="179"/>
      <c r="CP30" s="3"/>
      <c r="CQ30" s="179"/>
      <c r="CR30" s="179"/>
      <c r="CS30" s="179"/>
      <c r="CT30" s="179"/>
      <c r="CU30" s="179"/>
      <c r="CV30" s="179"/>
      <c r="CW30" s="179"/>
      <c r="CX30" s="179"/>
      <c r="CY30" s="3"/>
      <c r="CZ30" s="183"/>
      <c r="DA30" s="184"/>
      <c r="DB30" s="184"/>
    </row>
    <row r="31" spans="1:106" x14ac:dyDescent="0.25">
      <c r="F31" s="5"/>
      <c r="G31" s="5"/>
      <c r="H31" s="73"/>
      <c r="I31" s="76"/>
      <c r="J31" s="80"/>
      <c r="K31" s="84"/>
      <c r="AI31" s="170"/>
      <c r="AJ31" s="170"/>
      <c r="AK31" s="170"/>
      <c r="AL31" s="170"/>
      <c r="AM31" s="170"/>
      <c r="AN31" s="170"/>
      <c r="AO31" s="170"/>
      <c r="AP31" s="170"/>
      <c r="BO31" s="191" t="s">
        <v>182</v>
      </c>
      <c r="BP31" s="1">
        <v>5.2480746024977189E-2</v>
      </c>
      <c r="BQ31" s="1">
        <v>1654.531163637108</v>
      </c>
      <c r="BR31" s="1">
        <v>466.97046234872317</v>
      </c>
      <c r="BS31" s="1">
        <v>865.37209221349849</v>
      </c>
      <c r="BT31" s="1">
        <v>93.762091824651847</v>
      </c>
      <c r="BY31" s="180"/>
    </row>
    <row r="32" spans="1:106" s="85" customFormat="1" x14ac:dyDescent="0.25">
      <c r="A32" s="47"/>
      <c r="B32" s="30"/>
      <c r="C32" s="29"/>
      <c r="D32" s="29"/>
      <c r="E32" s="46"/>
      <c r="F32" s="5"/>
      <c r="G32" s="5"/>
      <c r="H32" s="73"/>
      <c r="I32" s="76"/>
      <c r="J32" s="80"/>
      <c r="K32" s="84"/>
      <c r="N32" s="68"/>
      <c r="O32" s="68"/>
      <c r="P32" s="156"/>
      <c r="Q32" s="157"/>
      <c r="R32" s="2"/>
      <c r="S32" s="2"/>
      <c r="T32" s="156"/>
      <c r="U32" s="157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170"/>
      <c r="AG32" s="156"/>
      <c r="AH32" s="157"/>
      <c r="AI32" s="170"/>
      <c r="AJ32" s="170"/>
      <c r="AK32" s="170"/>
      <c r="AL32" s="170"/>
      <c r="AM32" s="170"/>
      <c r="AN32" s="170"/>
      <c r="AO32" s="170"/>
      <c r="AP32" s="170"/>
      <c r="AQ32" s="2"/>
      <c r="AR32" s="2"/>
      <c r="AS32" s="2"/>
      <c r="AT32" s="156"/>
      <c r="AU32" s="157"/>
      <c r="AV32" s="2"/>
      <c r="AW32" s="2"/>
      <c r="AX32" s="2"/>
      <c r="AY32" s="156"/>
      <c r="AZ32" s="174"/>
      <c r="BA32" s="33"/>
      <c r="BB32" s="33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91"/>
      <c r="BP32" s="1"/>
      <c r="BQ32" s="1"/>
      <c r="BR32" s="1"/>
      <c r="BS32" s="1"/>
      <c r="BT32" s="1"/>
      <c r="BU32" s="1">
        <v>392.22092432931862</v>
      </c>
      <c r="BV32" s="1">
        <v>38.364176324307188</v>
      </c>
      <c r="BW32" s="4">
        <v>709.07492764518429</v>
      </c>
      <c r="BX32" s="4">
        <v>7.3025829958268194</v>
      </c>
      <c r="BY32" s="180">
        <v>2.9704205737529485</v>
      </c>
      <c r="BZ32" s="50">
        <v>1345.4488349542421</v>
      </c>
      <c r="CA32" s="63">
        <v>37.892939998085922</v>
      </c>
      <c r="CB32" s="3"/>
      <c r="CC32" s="3"/>
      <c r="CD32" s="179"/>
      <c r="CE32" s="2"/>
      <c r="CF32" s="2"/>
      <c r="CG32" s="3"/>
      <c r="CH32" s="179"/>
      <c r="CI32" s="179"/>
      <c r="CJ32" s="179"/>
      <c r="CK32" s="179"/>
      <c r="CL32" s="179"/>
      <c r="CM32" s="179"/>
      <c r="CN32" s="179"/>
      <c r="CO32" s="179"/>
      <c r="CP32" s="3"/>
      <c r="CQ32" s="179"/>
      <c r="CR32" s="179"/>
      <c r="CS32" s="179"/>
      <c r="CT32" s="179"/>
      <c r="CU32" s="179"/>
      <c r="CV32" s="179"/>
      <c r="CW32" s="179"/>
      <c r="CX32" s="179"/>
      <c r="CY32" s="3"/>
      <c r="CZ32" s="183"/>
      <c r="DA32" s="184"/>
      <c r="DB32" s="184"/>
    </row>
    <row r="33" spans="1:106" s="85" customFormat="1" x14ac:dyDescent="0.25">
      <c r="A33" s="47"/>
      <c r="B33" s="30"/>
      <c r="C33" s="29"/>
      <c r="D33" s="29"/>
      <c r="E33" s="46"/>
      <c r="F33" s="5"/>
      <c r="G33" s="5"/>
      <c r="H33" s="73"/>
      <c r="I33" s="76"/>
      <c r="J33" s="80"/>
      <c r="K33" s="84"/>
      <c r="N33" s="68"/>
      <c r="O33" s="68"/>
      <c r="P33" s="156"/>
      <c r="Q33" s="157"/>
      <c r="R33" s="2"/>
      <c r="S33" s="2"/>
      <c r="T33" s="156"/>
      <c r="U33" s="157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170"/>
      <c r="AG33" s="156"/>
      <c r="AH33" s="157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156"/>
      <c r="AU33" s="157"/>
      <c r="AV33" s="2"/>
      <c r="AW33" s="2"/>
      <c r="AX33" s="2"/>
      <c r="AY33" s="156"/>
      <c r="AZ33" s="174"/>
      <c r="BA33" s="33"/>
      <c r="BB33" s="33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91"/>
      <c r="BP33" s="1"/>
      <c r="BQ33" s="1"/>
      <c r="BR33" s="1"/>
      <c r="BS33" s="1"/>
      <c r="BT33" s="1"/>
      <c r="BU33" s="1"/>
      <c r="BV33" s="1"/>
      <c r="BW33" s="4"/>
      <c r="BX33" s="4"/>
      <c r="BY33" s="180"/>
      <c r="BZ33" s="50"/>
      <c r="CA33" s="63"/>
      <c r="CB33" s="3"/>
      <c r="CC33" s="3"/>
      <c r="CD33" s="179"/>
      <c r="CE33" s="2"/>
      <c r="CF33" s="2"/>
      <c r="CG33" s="3"/>
      <c r="CH33" s="179"/>
      <c r="CI33" s="179"/>
      <c r="CJ33" s="179"/>
      <c r="CK33" s="179"/>
      <c r="CL33" s="179"/>
      <c r="CM33" s="179"/>
      <c r="CN33" s="179"/>
      <c r="CO33" s="179"/>
      <c r="CP33" s="3"/>
      <c r="CQ33" s="179"/>
      <c r="CR33" s="179"/>
      <c r="CS33" s="179"/>
      <c r="CT33" s="179"/>
      <c r="CU33" s="179"/>
      <c r="CV33" s="179"/>
      <c r="CW33" s="179"/>
      <c r="CX33" s="179"/>
      <c r="CY33" s="3"/>
      <c r="CZ33" s="183"/>
      <c r="DA33" s="184"/>
      <c r="DB33" s="184"/>
    </row>
    <row r="34" spans="1:106" x14ac:dyDescent="0.25">
      <c r="BO34" s="190" t="s">
        <v>179</v>
      </c>
      <c r="BP34" s="1">
        <v>3.9810717055349568E-2</v>
      </c>
      <c r="BQ34" s="1">
        <v>1406.1542349102774</v>
      </c>
      <c r="BR34" s="1">
        <v>309.40234884165022</v>
      </c>
      <c r="BS34" s="1">
        <v>1177.6737437304007</v>
      </c>
      <c r="BT34" s="1">
        <v>101.38439282045911</v>
      </c>
      <c r="BY34" s="180"/>
    </row>
    <row r="35" spans="1:106" s="85" customFormat="1" x14ac:dyDescent="0.25">
      <c r="A35" s="47"/>
      <c r="B35" s="30"/>
      <c r="C35" s="29"/>
      <c r="D35" s="29"/>
      <c r="E35" s="46"/>
      <c r="F35" s="34"/>
      <c r="G35" s="31"/>
      <c r="H35" s="5"/>
      <c r="I35" s="5"/>
      <c r="J35" s="73"/>
      <c r="K35" s="76"/>
      <c r="L35" s="80"/>
      <c r="M35" s="84"/>
      <c r="N35" s="68"/>
      <c r="O35" s="68"/>
      <c r="P35" s="156"/>
      <c r="Q35" s="157"/>
      <c r="R35" s="2"/>
      <c r="S35" s="2"/>
      <c r="T35" s="156"/>
      <c r="U35" s="157"/>
      <c r="V35" s="2"/>
      <c r="W35" s="2"/>
      <c r="X35" s="2"/>
      <c r="Y35" s="2"/>
      <c r="AE35" s="2"/>
      <c r="AF35" s="170"/>
      <c r="AG35" s="156"/>
      <c r="AH35" s="157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156"/>
      <c r="AU35" s="157"/>
      <c r="AV35" s="2"/>
      <c r="AW35" s="2"/>
      <c r="AX35" s="2"/>
      <c r="AY35" s="156"/>
      <c r="AZ35" s="174"/>
      <c r="BA35" s="33"/>
      <c r="BB35" s="33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90"/>
      <c r="BP35" s="1"/>
      <c r="BQ35" s="1"/>
      <c r="BR35" s="1"/>
      <c r="BS35" s="1"/>
      <c r="BT35" s="1"/>
      <c r="BU35" s="1">
        <v>443.39337188307553</v>
      </c>
      <c r="BV35" s="1">
        <v>16.543371533261933</v>
      </c>
      <c r="BW35" s="4">
        <v>1182.8447303508256</v>
      </c>
      <c r="BX35" s="4">
        <v>7.3131667439393659</v>
      </c>
      <c r="BY35" s="180">
        <v>0.68969756955498118</v>
      </c>
      <c r="BZ35" s="50">
        <v>1042.613873279319</v>
      </c>
      <c r="CA35" s="63">
        <v>29.316482083177629</v>
      </c>
      <c r="CB35" s="3"/>
      <c r="CC35" s="3"/>
      <c r="CD35" s="179"/>
      <c r="CE35" s="2"/>
      <c r="CF35" s="2"/>
      <c r="CG35" s="3"/>
      <c r="CH35" s="179"/>
      <c r="CI35" s="179"/>
      <c r="CJ35" s="179"/>
      <c r="CK35" s="179"/>
      <c r="CL35" s="179"/>
      <c r="CM35" s="179"/>
      <c r="CN35" s="179"/>
      <c r="CO35" s="179"/>
      <c r="CP35" s="3"/>
      <c r="CQ35" s="179"/>
      <c r="CR35" s="179"/>
      <c r="CS35" s="179"/>
      <c r="CT35" s="179"/>
      <c r="CU35" s="179"/>
      <c r="CV35" s="179"/>
      <c r="CW35" s="179"/>
      <c r="CX35" s="179"/>
      <c r="CY35" s="3"/>
      <c r="CZ35" s="183"/>
      <c r="DA35" s="184"/>
      <c r="DB35" s="184"/>
    </row>
    <row r="36" spans="1:106" s="85" customFormat="1" x14ac:dyDescent="0.25">
      <c r="A36" s="47"/>
      <c r="B36" s="30"/>
      <c r="C36" s="29"/>
      <c r="D36" s="29"/>
      <c r="E36" s="46"/>
      <c r="F36" s="34"/>
      <c r="G36" s="31"/>
      <c r="H36" s="5"/>
      <c r="I36" s="5"/>
      <c r="J36" s="73"/>
      <c r="K36" s="76"/>
      <c r="L36" s="80"/>
      <c r="M36" s="84"/>
      <c r="N36" s="68"/>
      <c r="O36" s="68"/>
      <c r="P36" s="156"/>
      <c r="Q36" s="157"/>
      <c r="R36" s="2"/>
      <c r="S36" s="2"/>
      <c r="T36" s="156"/>
      <c r="U36" s="157"/>
      <c r="V36" s="2"/>
      <c r="W36" s="2"/>
      <c r="X36" s="2"/>
      <c r="Y36" s="2"/>
      <c r="Z36" s="85">
        <f>U4/26.98</f>
        <v>0.32584606778433461</v>
      </c>
      <c r="AA36" s="85">
        <f>V4/55.845</f>
        <v>0.10503215395252459</v>
      </c>
      <c r="AB36" s="85">
        <f>W4/54.938</f>
        <v>1.2285533922565121E-2</v>
      </c>
      <c r="AE36" s="2"/>
      <c r="AF36" s="170"/>
      <c r="AG36" s="156"/>
      <c r="AH36" s="157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156"/>
      <c r="AU36" s="157"/>
      <c r="AV36" s="2"/>
      <c r="AW36" s="2"/>
      <c r="AX36" s="2"/>
      <c r="AY36" s="156"/>
      <c r="AZ36" s="174"/>
      <c r="BA36" s="33"/>
      <c r="BB36" s="33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90"/>
      <c r="BP36" s="1"/>
      <c r="BQ36" s="1"/>
      <c r="BR36" s="1"/>
      <c r="BS36" s="1"/>
      <c r="BT36" s="1"/>
      <c r="BU36" s="1"/>
      <c r="BV36" s="1"/>
      <c r="BW36" s="4"/>
      <c r="BX36" s="4"/>
      <c r="BY36" s="180"/>
      <c r="BZ36" s="50"/>
      <c r="CA36" s="63"/>
      <c r="CB36" s="3"/>
      <c r="CC36" s="3"/>
      <c r="CD36" s="179"/>
      <c r="CE36" s="2"/>
      <c r="CF36" s="2"/>
      <c r="CG36" s="3"/>
      <c r="CH36" s="179"/>
      <c r="CI36" s="179"/>
      <c r="CJ36" s="179"/>
      <c r="CK36" s="179"/>
      <c r="CL36" s="179"/>
      <c r="CM36" s="179"/>
      <c r="CN36" s="179"/>
      <c r="CO36" s="179"/>
      <c r="CP36" s="3"/>
      <c r="CQ36" s="179"/>
      <c r="CR36" s="179"/>
      <c r="CS36" s="179"/>
      <c r="CT36" s="179"/>
      <c r="CU36" s="179"/>
      <c r="CV36" s="179"/>
      <c r="CW36" s="179"/>
      <c r="CX36" s="179"/>
      <c r="CY36" s="3"/>
      <c r="CZ36" s="183"/>
      <c r="DA36" s="184"/>
      <c r="DB36" s="184"/>
    </row>
    <row r="37" spans="1:106" x14ac:dyDescent="0.25">
      <c r="Z37" s="85">
        <f>U5/26.98</f>
        <v>0.27369750868364173</v>
      </c>
      <c r="AA37" s="85">
        <f>V5/55.845</f>
        <v>9.4376950399458301E-2</v>
      </c>
      <c r="AB37" s="85">
        <f>W5/54.938</f>
        <v>6.1825259707407E-3</v>
      </c>
      <c r="BO37" s="190" t="s">
        <v>174</v>
      </c>
      <c r="BP37" s="1">
        <v>4.1686938347033513E-2</v>
      </c>
      <c r="BQ37" s="1">
        <v>1249.3275662977035</v>
      </c>
      <c r="BR37" s="1">
        <v>453.49622774933027</v>
      </c>
      <c r="BS37" s="1">
        <v>914.75789999890128</v>
      </c>
      <c r="BT37" s="1">
        <v>124.90022645860535</v>
      </c>
      <c r="BY37" s="180"/>
    </row>
    <row r="38" spans="1:106" s="85" customFormat="1" x14ac:dyDescent="0.25">
      <c r="A38" s="47"/>
      <c r="B38" s="30"/>
      <c r="C38" s="29"/>
      <c r="D38" s="29"/>
      <c r="E38" s="46"/>
      <c r="F38" s="34"/>
      <c r="G38" s="31"/>
      <c r="H38" s="5"/>
      <c r="I38" s="5"/>
      <c r="J38" s="73"/>
      <c r="K38" s="76"/>
      <c r="L38" s="80"/>
      <c r="M38" s="84"/>
      <c r="N38" s="68"/>
      <c r="O38" s="68"/>
      <c r="P38" s="156"/>
      <c r="Q38" s="157"/>
      <c r="R38" s="2"/>
      <c r="S38" s="2"/>
      <c r="T38" s="156"/>
      <c r="U38" s="157"/>
      <c r="V38" s="2"/>
      <c r="W38" s="2"/>
      <c r="X38" s="2"/>
      <c r="Y38" s="2"/>
      <c r="Z38" s="85">
        <f t="shared" ref="Z38:Z44" si="58">U7/26.98</f>
        <v>1.5773290596059679</v>
      </c>
      <c r="AA38" s="85">
        <f t="shared" ref="AA38:AA44" si="59">V7/55.845</f>
        <v>0.32642182416555754</v>
      </c>
      <c r="AB38" s="85">
        <f t="shared" ref="AB38:AB44" si="60">W7/54.938</f>
        <v>7.9021031298052366E-3</v>
      </c>
      <c r="AE38" s="2"/>
      <c r="AF38" s="170"/>
      <c r="AG38" s="156"/>
      <c r="AH38" s="157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156"/>
      <c r="AU38" s="157"/>
      <c r="AV38" s="2"/>
      <c r="AW38" s="2"/>
      <c r="AX38" s="2"/>
      <c r="AY38" s="156"/>
      <c r="AZ38" s="174"/>
      <c r="BA38" s="33"/>
      <c r="BB38" s="33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90"/>
      <c r="BP38" s="1"/>
      <c r="BQ38" s="1"/>
      <c r="BR38" s="1"/>
      <c r="BS38" s="1"/>
      <c r="BT38" s="1"/>
      <c r="BU38" s="1">
        <v>279.4694203037501</v>
      </c>
      <c r="BV38" s="1">
        <v>113.02145967011192</v>
      </c>
      <c r="BW38" s="4">
        <v>983.78169547252264</v>
      </c>
      <c r="BX38" s="4">
        <v>12.943055541371958</v>
      </c>
      <c r="BY38" s="180">
        <v>0.51425733846282995</v>
      </c>
      <c r="BZ38" s="50">
        <v>885.03333935433432</v>
      </c>
      <c r="CA38" s="63">
        <v>39.199448857942386</v>
      </c>
      <c r="CB38" s="3"/>
      <c r="CC38" s="3"/>
      <c r="CD38" s="179"/>
      <c r="CE38" s="2"/>
      <c r="CF38" s="2"/>
      <c r="CG38" s="3"/>
      <c r="CH38" s="179"/>
      <c r="CI38" s="179"/>
      <c r="CJ38" s="179"/>
      <c r="CK38" s="179"/>
      <c r="CL38" s="179"/>
      <c r="CM38" s="179"/>
      <c r="CN38" s="179"/>
      <c r="CO38" s="179"/>
      <c r="CP38" s="3"/>
      <c r="CQ38" s="179"/>
      <c r="CR38" s="179"/>
      <c r="CS38" s="179"/>
      <c r="CT38" s="179"/>
      <c r="CU38" s="179"/>
      <c r="CV38" s="179"/>
      <c r="CW38" s="179"/>
      <c r="CX38" s="179"/>
      <c r="CY38" s="3"/>
      <c r="CZ38" s="183"/>
      <c r="DA38" s="184"/>
      <c r="DB38" s="184"/>
    </row>
    <row r="39" spans="1:106" x14ac:dyDescent="0.25">
      <c r="Z39" s="85">
        <f t="shared" si="58"/>
        <v>0.2137871118875086</v>
      </c>
      <c r="AA39" s="85">
        <f t="shared" si="59"/>
        <v>7.3932298622644999E-2</v>
      </c>
      <c r="AB39" s="85">
        <f t="shared" si="60"/>
        <v>1.9230107574586829E-2</v>
      </c>
    </row>
    <row r="40" spans="1:106" x14ac:dyDescent="0.25">
      <c r="Z40" s="85">
        <f t="shared" si="58"/>
        <v>0.12582419726112912</v>
      </c>
      <c r="AA40" s="85">
        <f t="shared" si="59"/>
        <v>4.9780931435857378E-2</v>
      </c>
      <c r="AB40" s="85">
        <f t="shared" si="60"/>
        <v>3.7240938859124046E-3</v>
      </c>
      <c r="BO40" s="190" t="s">
        <v>177</v>
      </c>
      <c r="BP40" s="1">
        <v>3.5481338923357426E-2</v>
      </c>
      <c r="BQ40" s="1">
        <v>1161.8206334519548</v>
      </c>
      <c r="BR40" s="1">
        <v>293.9822340860153</v>
      </c>
      <c r="BS40" s="1">
        <v>853.1137092147718</v>
      </c>
      <c r="BT40" s="1">
        <v>77.580352159784766</v>
      </c>
      <c r="BY40" s="180"/>
    </row>
    <row r="41" spans="1:106" s="85" customFormat="1" x14ac:dyDescent="0.25">
      <c r="A41" s="47"/>
      <c r="B41" s="30"/>
      <c r="C41" s="29"/>
      <c r="D41" s="29"/>
      <c r="E41" s="46"/>
      <c r="F41" s="34"/>
      <c r="G41" s="31"/>
      <c r="H41" s="5"/>
      <c r="I41" s="5"/>
      <c r="J41" s="73"/>
      <c r="K41" s="76"/>
      <c r="L41" s="80"/>
      <c r="M41" s="84"/>
      <c r="N41" s="68"/>
      <c r="O41" s="68"/>
      <c r="P41" s="156"/>
      <c r="Q41" s="157"/>
      <c r="R41" s="2"/>
      <c r="S41" s="2"/>
      <c r="T41" s="156"/>
      <c r="U41" s="157"/>
      <c r="V41" s="2"/>
      <c r="W41" s="2"/>
      <c r="X41" s="2"/>
      <c r="Y41" s="2"/>
      <c r="Z41" s="85">
        <f t="shared" si="58"/>
        <v>6.7479905769916596E-2</v>
      </c>
      <c r="AA41" s="85">
        <f t="shared" si="59"/>
        <v>3.7079980104621879E-2</v>
      </c>
      <c r="AB41" s="85">
        <f t="shared" si="60"/>
        <v>1.3329207920841284E-2</v>
      </c>
      <c r="AE41" s="2"/>
      <c r="AF41" s="170"/>
      <c r="AG41" s="156"/>
      <c r="AH41" s="157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156"/>
      <c r="AU41" s="157"/>
      <c r="AV41" s="2"/>
      <c r="AW41" s="2"/>
      <c r="AX41" s="2"/>
      <c r="AY41" s="156"/>
      <c r="AZ41" s="174"/>
      <c r="BA41" s="33"/>
      <c r="BB41" s="33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90"/>
      <c r="BP41" s="1"/>
      <c r="BQ41" s="1"/>
      <c r="BR41" s="1"/>
      <c r="BS41" s="1"/>
      <c r="BT41" s="1"/>
      <c r="BU41" s="1">
        <v>370.80521221449959</v>
      </c>
      <c r="BV41" s="1">
        <v>68.476355922041535</v>
      </c>
      <c r="BW41" s="4">
        <v>881.5829104718398</v>
      </c>
      <c r="BX41" s="4">
        <v>7.9284829702419604</v>
      </c>
      <c r="BY41" s="180">
        <v>0.13831398612250556</v>
      </c>
      <c r="BZ41" s="50">
        <v>710.70463796542924</v>
      </c>
      <c r="CA41" s="63">
        <v>28.632285105479664</v>
      </c>
      <c r="CB41" s="3"/>
      <c r="CC41" s="3"/>
      <c r="CD41" s="179"/>
      <c r="CE41" s="2"/>
      <c r="CF41" s="2"/>
      <c r="CG41" s="3"/>
      <c r="CH41" s="179"/>
      <c r="CI41" s="179"/>
      <c r="CJ41" s="179"/>
      <c r="CK41" s="179"/>
      <c r="CL41" s="179"/>
      <c r="CM41" s="179"/>
      <c r="CN41" s="179"/>
      <c r="CO41" s="179"/>
      <c r="CP41" s="3"/>
      <c r="CQ41" s="179"/>
      <c r="CR41" s="179"/>
      <c r="CS41" s="179"/>
      <c r="CT41" s="179"/>
      <c r="CU41" s="179"/>
      <c r="CV41" s="179"/>
      <c r="CW41" s="179"/>
      <c r="CX41" s="179"/>
      <c r="CY41" s="3"/>
      <c r="CZ41" s="183"/>
      <c r="DA41" s="184"/>
      <c r="DB41" s="184"/>
    </row>
    <row r="42" spans="1:106" s="85" customFormat="1" x14ac:dyDescent="0.25">
      <c r="A42" s="47"/>
      <c r="B42" s="30"/>
      <c r="C42" s="29"/>
      <c r="D42" s="29"/>
      <c r="E42" s="46"/>
      <c r="F42" s="34"/>
      <c r="G42" s="31"/>
      <c r="H42" s="5"/>
      <c r="I42" s="5"/>
      <c r="J42" s="73"/>
      <c r="K42" s="76"/>
      <c r="L42" s="80"/>
      <c r="M42" s="84"/>
      <c r="N42" s="68"/>
      <c r="O42" s="68"/>
      <c r="P42" s="156"/>
      <c r="Q42" s="157"/>
      <c r="R42" s="2"/>
      <c r="S42" s="2"/>
      <c r="T42" s="156"/>
      <c r="U42" s="157"/>
      <c r="V42" s="2"/>
      <c r="W42" s="2"/>
      <c r="X42" s="2"/>
      <c r="Y42" s="2"/>
      <c r="Z42" s="85">
        <f t="shared" si="58"/>
        <v>0.28239351445570143</v>
      </c>
      <c r="AA42" s="85">
        <f t="shared" si="59"/>
        <v>0.15614698989577758</v>
      </c>
      <c r="AB42" s="85">
        <f t="shared" si="60"/>
        <v>1.3852701545373457E-2</v>
      </c>
      <c r="AE42" s="2"/>
      <c r="AF42" s="170"/>
      <c r="AG42" s="156"/>
      <c r="AH42" s="157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156"/>
      <c r="AU42" s="157"/>
      <c r="AV42" s="2"/>
      <c r="AW42" s="2"/>
      <c r="AX42" s="2"/>
      <c r="AY42" s="156"/>
      <c r="AZ42" s="174"/>
      <c r="BA42" s="33"/>
      <c r="BB42" s="33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90"/>
      <c r="BP42" s="1"/>
      <c r="BQ42" s="1"/>
      <c r="BR42" s="1"/>
      <c r="BS42" s="1"/>
      <c r="BT42" s="1"/>
      <c r="BU42" s="1"/>
      <c r="BV42" s="1"/>
      <c r="BW42" s="4"/>
      <c r="BX42" s="4"/>
      <c r="BY42" s="180"/>
      <c r="BZ42" s="50"/>
      <c r="CA42" s="63"/>
      <c r="CB42" s="3"/>
      <c r="CC42" s="3"/>
      <c r="CD42" s="179"/>
      <c r="CE42" s="2"/>
      <c r="CF42" s="2"/>
      <c r="CG42" s="3"/>
      <c r="CH42" s="179"/>
      <c r="CI42" s="179"/>
      <c r="CJ42" s="179"/>
      <c r="CK42" s="179"/>
      <c r="CL42" s="179"/>
      <c r="CM42" s="179"/>
      <c r="CN42" s="179"/>
      <c r="CO42" s="179"/>
      <c r="CP42" s="3"/>
      <c r="CQ42" s="179"/>
      <c r="CR42" s="179"/>
      <c r="CS42" s="179"/>
      <c r="CT42" s="179"/>
      <c r="CU42" s="179"/>
      <c r="CV42" s="179"/>
      <c r="CW42" s="179"/>
      <c r="CX42" s="179"/>
      <c r="CY42" s="3"/>
      <c r="CZ42" s="183"/>
      <c r="DA42" s="184"/>
      <c r="DB42" s="184"/>
    </row>
    <row r="43" spans="1:106" x14ac:dyDescent="0.25">
      <c r="Z43" s="85">
        <f t="shared" si="58"/>
        <v>0.29249077234269022</v>
      </c>
      <c r="AA43" s="85">
        <f t="shared" si="59"/>
        <v>0.13479810477500859</v>
      </c>
      <c r="AB43" s="85">
        <f t="shared" si="60"/>
        <v>1.7709325462812994E-2</v>
      </c>
      <c r="BO43" s="190" t="s">
        <v>181</v>
      </c>
      <c r="BP43" s="1">
        <v>0.56234132519034874</v>
      </c>
      <c r="BQ43" s="1">
        <v>271.88352409040209</v>
      </c>
      <c r="BR43" s="1">
        <v>64.691693571866722</v>
      </c>
      <c r="BS43" s="1">
        <v>333.11188064302786</v>
      </c>
      <c r="BT43" s="1">
        <v>20.323223684205537</v>
      </c>
      <c r="BY43" s="180"/>
    </row>
    <row r="44" spans="1:106" s="85" customFormat="1" x14ac:dyDescent="0.25">
      <c r="A44" s="47"/>
      <c r="B44" s="30"/>
      <c r="C44" s="29"/>
      <c r="D44" s="29"/>
      <c r="E44" s="46"/>
      <c r="F44" s="34"/>
      <c r="G44" s="31"/>
      <c r="H44" s="5"/>
      <c r="I44" s="5"/>
      <c r="J44" s="73"/>
      <c r="K44" s="76"/>
      <c r="L44" s="80"/>
      <c r="M44" s="84"/>
      <c r="N44" s="68"/>
      <c r="O44" s="68"/>
      <c r="P44" s="156"/>
      <c r="Q44" s="157"/>
      <c r="R44" s="2"/>
      <c r="S44" s="2"/>
      <c r="T44" s="156"/>
      <c r="U44" s="157"/>
      <c r="V44" s="2"/>
      <c r="W44" s="2"/>
      <c r="X44" s="2"/>
      <c r="Y44" s="2"/>
      <c r="Z44" s="85">
        <f t="shared" si="58"/>
        <v>4.8040967116734196E-2</v>
      </c>
      <c r="AA44" s="85">
        <f t="shared" si="59"/>
        <v>1.2502148255614038E-2</v>
      </c>
      <c r="AB44" s="85">
        <f t="shared" si="60"/>
        <v>5.6325263399031032E-4</v>
      </c>
      <c r="AE44" s="2"/>
      <c r="AF44" s="170"/>
      <c r="AG44" s="156"/>
      <c r="AH44" s="157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156"/>
      <c r="AU44" s="157"/>
      <c r="AV44" s="2"/>
      <c r="AW44" s="2"/>
      <c r="AX44" s="2"/>
      <c r="AY44" s="156"/>
      <c r="AZ44" s="174"/>
      <c r="BA44" s="33"/>
      <c r="BB44" s="33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90"/>
      <c r="BP44" s="1"/>
      <c r="BQ44" s="1"/>
      <c r="BR44" s="1"/>
      <c r="BS44" s="1"/>
      <c r="BT44" s="1"/>
      <c r="BU44" s="1">
        <v>55.571750129536277</v>
      </c>
      <c r="BV44" s="1">
        <v>12.372140543229138</v>
      </c>
      <c r="BW44" s="4">
        <v>309.12904511492502</v>
      </c>
      <c r="BX44" s="4">
        <v>3.2991503956156878</v>
      </c>
      <c r="BY44" s="180">
        <v>6.3125315654440697E-2</v>
      </c>
      <c r="BZ44" s="50">
        <v>190.72396207725149</v>
      </c>
      <c r="CA44" s="63">
        <v>10.352542844677746</v>
      </c>
      <c r="CB44" s="3"/>
      <c r="CC44" s="3"/>
      <c r="CD44" s="179"/>
      <c r="CE44" s="2"/>
      <c r="CF44" s="2"/>
      <c r="CG44" s="3"/>
      <c r="CH44" s="179"/>
      <c r="CI44" s="179"/>
      <c r="CJ44" s="179"/>
      <c r="CK44" s="179"/>
      <c r="CL44" s="179"/>
      <c r="CM44" s="179"/>
      <c r="CN44" s="179"/>
      <c r="CO44" s="179"/>
      <c r="CP44" s="3"/>
      <c r="CQ44" s="179"/>
      <c r="CR44" s="179"/>
      <c r="CS44" s="179"/>
      <c r="CT44" s="179"/>
      <c r="CU44" s="179"/>
      <c r="CV44" s="179"/>
      <c r="CW44" s="179"/>
      <c r="CX44" s="179"/>
      <c r="CY44" s="3"/>
      <c r="CZ44" s="183"/>
      <c r="DA44" s="184"/>
      <c r="DB44" s="184"/>
    </row>
    <row r="45" spans="1:106" x14ac:dyDescent="0.25">
      <c r="Z45" s="85">
        <f>U6/26.98</f>
        <v>0.15501694965548429</v>
      </c>
      <c r="AA45" s="85">
        <f>V6/55.845</f>
        <v>2.2580181589134149E-2</v>
      </c>
      <c r="AB45" s="85">
        <f>W6/54.938</f>
        <v>2.1867455201976752E-3</v>
      </c>
    </row>
    <row r="46" spans="1:106" x14ac:dyDescent="0.25">
      <c r="Z46" s="85">
        <f t="shared" ref="Z46" si="61">U14/26.98</f>
        <v>5.6558381932969595E-2</v>
      </c>
      <c r="AA46" s="85">
        <f t="shared" ref="AA46" si="62">V14/55.845</f>
        <v>3.6025041203340262E-2</v>
      </c>
      <c r="AB46" s="85">
        <f t="shared" ref="AB46" si="63">W14/54.938</f>
        <v>1.934938460296125E-3</v>
      </c>
      <c r="BO46" s="190" t="s">
        <v>188</v>
      </c>
      <c r="BP46" s="1">
        <v>1.5848931924611134E-2</v>
      </c>
      <c r="BQ46" s="1">
        <v>1569.5513103341766</v>
      </c>
      <c r="BR46" s="1">
        <v>389.151183090291</v>
      </c>
      <c r="BS46" s="1">
        <v>688.4013599815454</v>
      </c>
      <c r="BT46" s="1">
        <v>63.287763042585624</v>
      </c>
      <c r="BY46" s="180"/>
    </row>
    <row r="47" spans="1:106" x14ac:dyDescent="0.25">
      <c r="Z47" s="85"/>
      <c r="AA47" s="85"/>
      <c r="AB47" s="85"/>
      <c r="BU47" s="1">
        <v>149.72092421819798</v>
      </c>
      <c r="BV47" s="1">
        <v>13.778463794285559</v>
      </c>
      <c r="BW47" s="4">
        <v>374.51644392192884</v>
      </c>
      <c r="BX47" s="4">
        <v>3.5946633654655851</v>
      </c>
      <c r="BY47" s="180">
        <v>1.2999535342397457E-2</v>
      </c>
      <c r="BZ47" s="50">
        <v>1500.9347710876136</v>
      </c>
      <c r="CA47" s="63">
        <v>23.627814299599386</v>
      </c>
    </row>
    <row r="49" spans="1:106" x14ac:dyDescent="0.25">
      <c r="Z49" s="149"/>
      <c r="AA49" s="149"/>
      <c r="AB49" s="149"/>
      <c r="AC49" s="149"/>
      <c r="AD49" s="149"/>
      <c r="AE49" s="149"/>
      <c r="BO49" s="190" t="s">
        <v>185</v>
      </c>
      <c r="BP49" s="1">
        <v>5.8884365535558779E-2</v>
      </c>
      <c r="BQ49" s="1">
        <v>382.74455972646592</v>
      </c>
      <c r="BR49" s="1">
        <v>95.210197859841514</v>
      </c>
      <c r="BS49" s="1">
        <v>83.828499120810321</v>
      </c>
      <c r="BT49" s="1">
        <v>14.228605847811668</v>
      </c>
      <c r="BY49" s="180"/>
    </row>
    <row r="50" spans="1:106" s="85" customFormat="1" x14ac:dyDescent="0.25">
      <c r="A50" s="47"/>
      <c r="B50" s="30"/>
      <c r="C50" s="29"/>
      <c r="D50" s="29"/>
      <c r="E50" s="46"/>
      <c r="F50" s="34"/>
      <c r="G50" s="31"/>
      <c r="H50" s="5"/>
      <c r="I50" s="5"/>
      <c r="J50" s="73"/>
      <c r="K50" s="76"/>
      <c r="L50" s="80"/>
      <c r="M50" s="84"/>
      <c r="N50" s="68"/>
      <c r="O50" s="68"/>
      <c r="P50" s="156"/>
      <c r="Q50" s="157"/>
      <c r="R50" s="2"/>
      <c r="S50" s="2"/>
      <c r="T50" s="156"/>
      <c r="U50" s="157"/>
      <c r="V50" s="2"/>
      <c r="W50" s="2"/>
      <c r="X50" s="2"/>
      <c r="Y50" s="2"/>
      <c r="Z50" s="2"/>
      <c r="AA50" s="2"/>
      <c r="AB50" s="2"/>
      <c r="AC50" s="35"/>
      <c r="AD50" s="2"/>
      <c r="AE50" s="2"/>
      <c r="AF50" s="170"/>
      <c r="AG50" s="156"/>
      <c r="AH50" s="157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156"/>
      <c r="AU50" s="157"/>
      <c r="AV50" s="2"/>
      <c r="AW50" s="2"/>
      <c r="AX50" s="2"/>
      <c r="AY50" s="156"/>
      <c r="AZ50" s="174"/>
      <c r="BA50" s="33"/>
      <c r="BB50" s="33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90"/>
      <c r="BP50" s="1"/>
      <c r="BQ50" s="1"/>
      <c r="BR50" s="1"/>
      <c r="BS50" s="1"/>
      <c r="BT50" s="1"/>
      <c r="BU50" s="1">
        <v>177.2117085205779</v>
      </c>
      <c r="BV50" s="1">
        <v>13.977359362543515</v>
      </c>
      <c r="BW50" s="4">
        <v>76.051344573766841</v>
      </c>
      <c r="BX50" s="4">
        <v>3.1395794496116567</v>
      </c>
      <c r="BY50" s="180">
        <v>0</v>
      </c>
      <c r="BZ50" s="50">
        <v>196.80765050898876</v>
      </c>
      <c r="CA50" s="63">
        <v>42.18386350946912</v>
      </c>
      <c r="CB50" s="3"/>
      <c r="CC50" s="3"/>
      <c r="CD50" s="179"/>
      <c r="CE50" s="2"/>
      <c r="CF50" s="2"/>
      <c r="CG50" s="3"/>
      <c r="CH50" s="179"/>
      <c r="CI50" s="179"/>
      <c r="CJ50" s="179"/>
      <c r="CK50" s="179"/>
      <c r="CL50" s="179"/>
      <c r="CM50" s="179"/>
      <c r="CN50" s="179"/>
      <c r="CO50" s="179"/>
      <c r="CP50" s="3"/>
      <c r="CQ50" s="179"/>
      <c r="CR50" s="179"/>
      <c r="CS50" s="179"/>
      <c r="CT50" s="179"/>
      <c r="CU50" s="179"/>
      <c r="CV50" s="179"/>
      <c r="CW50" s="179"/>
      <c r="CX50" s="179"/>
      <c r="CY50" s="3"/>
      <c r="CZ50" s="183"/>
      <c r="DA50" s="184"/>
      <c r="DB50" s="184"/>
    </row>
    <row r="51" spans="1:106" s="85" customFormat="1" x14ac:dyDescent="0.25">
      <c r="A51" s="47"/>
      <c r="B51" s="30"/>
      <c r="C51" s="29"/>
      <c r="D51" s="29"/>
      <c r="E51" s="46"/>
      <c r="F51" s="34"/>
      <c r="G51" s="31"/>
      <c r="H51" s="5"/>
      <c r="I51" s="5"/>
      <c r="J51" s="73"/>
      <c r="K51" s="76"/>
      <c r="L51" s="80"/>
      <c r="M51" s="84"/>
      <c r="N51" s="68"/>
      <c r="O51" s="68"/>
      <c r="P51" s="156"/>
      <c r="Q51" s="157"/>
      <c r="R51" s="2"/>
      <c r="S51" s="2"/>
      <c r="T51" s="156"/>
      <c r="U51" s="157"/>
      <c r="V51" s="2"/>
      <c r="W51" s="2"/>
      <c r="X51" s="2"/>
      <c r="Y51" s="2"/>
      <c r="Z51" s="2"/>
      <c r="AA51" s="2"/>
      <c r="AB51" s="2"/>
      <c r="AC51" s="35"/>
      <c r="AD51" s="2"/>
      <c r="AE51" s="2"/>
      <c r="AF51" s="170"/>
      <c r="AG51" s="156"/>
      <c r="AH51" s="157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156"/>
      <c r="AU51" s="157"/>
      <c r="AV51" s="2"/>
      <c r="AW51" s="2"/>
      <c r="AX51" s="2"/>
      <c r="AY51" s="156"/>
      <c r="AZ51" s="174"/>
      <c r="BA51" s="33"/>
      <c r="BB51" s="33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90"/>
      <c r="BP51" s="1"/>
      <c r="BQ51" s="1"/>
      <c r="BR51" s="1"/>
      <c r="BS51" s="1"/>
      <c r="BT51" s="1"/>
      <c r="BU51" s="1"/>
      <c r="BV51" s="1"/>
      <c r="BW51" s="4"/>
      <c r="BX51" s="4"/>
      <c r="BY51" s="180"/>
      <c r="BZ51" s="50"/>
      <c r="CA51" s="63"/>
      <c r="CB51" s="3"/>
      <c r="CC51" s="3"/>
      <c r="CD51" s="179"/>
      <c r="CE51" s="2"/>
      <c r="CF51" s="2"/>
      <c r="CG51" s="3"/>
      <c r="CH51" s="179"/>
      <c r="CI51" s="179"/>
      <c r="CJ51" s="179"/>
      <c r="CK51" s="179"/>
      <c r="CL51" s="179"/>
      <c r="CM51" s="179"/>
      <c r="CN51" s="179"/>
      <c r="CO51" s="179"/>
      <c r="CP51" s="3"/>
      <c r="CQ51" s="179"/>
      <c r="CR51" s="179"/>
      <c r="CS51" s="179"/>
      <c r="CT51" s="179"/>
      <c r="CU51" s="179"/>
      <c r="CV51" s="179"/>
      <c r="CW51" s="179"/>
      <c r="CX51" s="179"/>
      <c r="CY51" s="3"/>
      <c r="CZ51" s="183"/>
      <c r="DA51" s="184"/>
      <c r="DB51" s="184"/>
    </row>
    <row r="52" spans="1:106" x14ac:dyDescent="0.25">
      <c r="AC52" s="35"/>
    </row>
    <row r="53" spans="1:106" x14ac:dyDescent="0.25">
      <c r="AC53" s="35"/>
    </row>
    <row r="54" spans="1:106" x14ac:dyDescent="0.25">
      <c r="AC54" s="35"/>
    </row>
    <row r="55" spans="1:106" x14ac:dyDescent="0.25">
      <c r="AC55" s="35"/>
    </row>
    <row r="56" spans="1:106" x14ac:dyDescent="0.25">
      <c r="AC56" s="35"/>
    </row>
    <row r="57" spans="1:106" x14ac:dyDescent="0.25">
      <c r="AC57" s="35"/>
    </row>
    <row r="58" spans="1:106" x14ac:dyDescent="0.25">
      <c r="AC58" s="35"/>
    </row>
    <row r="59" spans="1:106" x14ac:dyDescent="0.25">
      <c r="AC59" s="35"/>
    </row>
    <row r="60" spans="1:106" x14ac:dyDescent="0.25">
      <c r="AC60" s="35"/>
    </row>
    <row r="62" spans="1:106" x14ac:dyDescent="0.25">
      <c r="BY62" s="180"/>
    </row>
    <row r="63" spans="1:106" x14ac:dyDescent="0.25">
      <c r="BY63" s="180"/>
    </row>
    <row r="64" spans="1:106" x14ac:dyDescent="0.25">
      <c r="BY64" s="180"/>
    </row>
  </sheetData>
  <mergeCells count="7">
    <mergeCell ref="AR18:AZ18"/>
    <mergeCell ref="AI18:AQ18"/>
    <mergeCell ref="CB1:DC1"/>
    <mergeCell ref="Q1:T1"/>
    <mergeCell ref="AU1:AY1"/>
    <mergeCell ref="U1:AF1"/>
    <mergeCell ref="AH1:AS1"/>
  </mergeCells>
  <phoneticPr fontId="18" type="noConversion"/>
  <pageMargins left="0.74791666666666667" right="0.74791666666666667" top="0.98402777777777783" bottom="0.98402777777777783" header="0.51180555555555562" footer="0.51180555555555562"/>
  <pageSetup paperSize="9" scale="70" firstPageNumber="0" orientation="landscape" horizontalDpi="300" verticalDpi="300" r:id="rId1"/>
  <headerFooter alignWithMargins="0"/>
  <colBreaks count="1" manualBreakCount="1">
    <brk id="1" max="1048575" man="1"/>
  </colBreaks>
  <drawing r:id="rId2"/>
  <legacyDrawing r:id="rId3"/>
  <extLst>
    <ext xmlns:mx="http://schemas.microsoft.com/office/mac/excel/2008/main" uri="{64002731-A6B0-56B0-2670-7721B7C09600}">
      <mx:PLV Mode="0" OnePage="0" WScale="0"/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P54"/>
  <sheetViews>
    <sheetView workbookViewId="0">
      <selection activeCell="N25" sqref="N25:N36"/>
    </sheetView>
  </sheetViews>
  <sheetFormatPr defaultColWidth="11.42578125" defaultRowHeight="12.75" x14ac:dyDescent="0.2"/>
  <cols>
    <col min="12" max="12" width="19.140625" bestFit="1" customWidth="1"/>
    <col min="13" max="13" width="20.28515625" bestFit="1" customWidth="1"/>
    <col min="14" max="14" width="21" bestFit="1" customWidth="1"/>
  </cols>
  <sheetData>
    <row r="1" spans="1:16" x14ac:dyDescent="0.2">
      <c r="A1" s="85" t="s">
        <v>71</v>
      </c>
      <c r="B1" s="85" t="s">
        <v>428</v>
      </c>
      <c r="C1" s="85" t="s">
        <v>349</v>
      </c>
      <c r="D1" s="85" t="s">
        <v>350</v>
      </c>
      <c r="E1" s="85" t="s">
        <v>351</v>
      </c>
      <c r="F1" s="85" t="s">
        <v>352</v>
      </c>
      <c r="G1" s="85" t="s">
        <v>353</v>
      </c>
      <c r="H1" s="85" t="s">
        <v>314</v>
      </c>
      <c r="I1" s="85" t="s">
        <v>351</v>
      </c>
      <c r="J1" s="85" t="s">
        <v>354</v>
      </c>
      <c r="K1" s="85" t="s">
        <v>355</v>
      </c>
      <c r="L1" s="85" t="s">
        <v>429</v>
      </c>
      <c r="M1" s="85" t="s">
        <v>430</v>
      </c>
      <c r="N1" s="85" t="s">
        <v>431</v>
      </c>
      <c r="O1" s="85"/>
      <c r="P1" s="85"/>
    </row>
    <row r="2" spans="1:16" hidden="1" x14ac:dyDescent="0.2">
      <c r="A2" s="85" t="s">
        <v>340</v>
      </c>
      <c r="B2" s="85" t="s">
        <v>234</v>
      </c>
      <c r="C2" s="85">
        <v>206</v>
      </c>
      <c r="D2" s="85">
        <v>405.3</v>
      </c>
      <c r="E2" s="85">
        <v>5.4</v>
      </c>
      <c r="F2" s="85">
        <v>0</v>
      </c>
      <c r="G2" s="85"/>
      <c r="H2" s="85" t="s">
        <v>357</v>
      </c>
      <c r="I2" s="85"/>
      <c r="J2" s="85"/>
      <c r="K2" s="85" t="s">
        <v>319</v>
      </c>
      <c r="L2" s="145">
        <v>0.24099999999999999</v>
      </c>
      <c r="M2" s="85">
        <v>0</v>
      </c>
      <c r="N2" s="85">
        <f>(D2-$P$3)/$P$2</f>
        <v>1.3407928851805018E-2</v>
      </c>
      <c r="O2" s="85" t="s">
        <v>425</v>
      </c>
      <c r="P2" s="85">
        <f>SLOPE(D2:D6,M2:M6)</f>
        <v>18288.654346747298</v>
      </c>
    </row>
    <row r="3" spans="1:16" hidden="1" x14ac:dyDescent="0.2">
      <c r="A3" s="85" t="s">
        <v>358</v>
      </c>
      <c r="B3" s="85" t="s">
        <v>234</v>
      </c>
      <c r="C3" s="85">
        <v>206</v>
      </c>
      <c r="D3" s="85">
        <v>24224.5</v>
      </c>
      <c r="E3" s="85">
        <v>1.7</v>
      </c>
      <c r="F3" s="85">
        <v>2.5</v>
      </c>
      <c r="G3" s="85">
        <v>4.3999999999999997E-2</v>
      </c>
      <c r="H3" s="85" t="s">
        <v>357</v>
      </c>
      <c r="I3" s="85">
        <v>1.8</v>
      </c>
      <c r="J3" s="85">
        <v>405</v>
      </c>
      <c r="K3" s="85" t="s">
        <v>319</v>
      </c>
      <c r="L3" s="145">
        <v>0.24099999999999999</v>
      </c>
      <c r="M3" s="85">
        <v>1.31</v>
      </c>
      <c r="N3" s="85">
        <f t="shared" ref="N3:N19" si="0">(D3-$P$3)/$P$2</f>
        <v>1.3158110225073165</v>
      </c>
      <c r="O3" s="85" t="s">
        <v>426</v>
      </c>
      <c r="P3" s="85">
        <f>INTERCEPT(D2:D6,M2:M6)</f>
        <v>160.08702372355765</v>
      </c>
    </row>
    <row r="4" spans="1:16" hidden="1" x14ac:dyDescent="0.2">
      <c r="A4" s="85" t="s">
        <v>360</v>
      </c>
      <c r="B4" s="85" t="s">
        <v>234</v>
      </c>
      <c r="C4" s="85">
        <v>206</v>
      </c>
      <c r="D4" s="85">
        <v>47595.8</v>
      </c>
      <c r="E4" s="85">
        <v>0.2</v>
      </c>
      <c r="F4" s="85">
        <v>4.99</v>
      </c>
      <c r="G4" s="85">
        <v>8.9999999999999993E-3</v>
      </c>
      <c r="H4" s="85" t="s">
        <v>357</v>
      </c>
      <c r="I4" s="85">
        <v>0.2</v>
      </c>
      <c r="J4" s="85">
        <v>405</v>
      </c>
      <c r="K4" s="85" t="s">
        <v>319</v>
      </c>
      <c r="L4" s="145">
        <v>0.24099999999999999</v>
      </c>
      <c r="M4" s="85">
        <v>2.6304799999999999</v>
      </c>
      <c r="N4" s="85">
        <f t="shared" si="0"/>
        <v>2.5937235226228141</v>
      </c>
      <c r="O4" s="85" t="s">
        <v>427</v>
      </c>
      <c r="P4" s="85">
        <f>CORREL(D2:D6,M2:M6)</f>
        <v>0.99994835979950036</v>
      </c>
    </row>
    <row r="5" spans="1:16" hidden="1" x14ac:dyDescent="0.2">
      <c r="A5" s="85" t="s">
        <v>362</v>
      </c>
      <c r="B5" s="85" t="s">
        <v>234</v>
      </c>
      <c r="C5" s="85">
        <v>206</v>
      </c>
      <c r="D5" s="85">
        <v>71986.600000000006</v>
      </c>
      <c r="E5" s="85">
        <v>0.9</v>
      </c>
      <c r="F5" s="85">
        <v>7.52</v>
      </c>
      <c r="G5" s="85">
        <v>6.5000000000000002E-2</v>
      </c>
      <c r="H5" s="85" t="s">
        <v>357</v>
      </c>
      <c r="I5" s="85">
        <v>0.9</v>
      </c>
      <c r="J5" s="85">
        <v>405</v>
      </c>
      <c r="K5" s="85" t="s">
        <v>319</v>
      </c>
      <c r="L5" s="145">
        <v>0.24099999999999999</v>
      </c>
      <c r="M5" s="85">
        <v>3.9247600000000005</v>
      </c>
      <c r="N5" s="85">
        <f t="shared" si="0"/>
        <v>3.9273809660605812</v>
      </c>
      <c r="O5" s="85"/>
      <c r="P5" s="85"/>
    </row>
    <row r="6" spans="1:16" hidden="1" x14ac:dyDescent="0.2">
      <c r="A6" s="85" t="s">
        <v>364</v>
      </c>
      <c r="B6" s="85" t="s">
        <v>234</v>
      </c>
      <c r="C6" s="85">
        <v>206</v>
      </c>
      <c r="D6" s="85">
        <v>97032.1</v>
      </c>
      <c r="E6" s="85">
        <v>0.4</v>
      </c>
      <c r="F6" s="85">
        <v>10.07</v>
      </c>
      <c r="G6" s="85">
        <v>3.6999999999999998E-2</v>
      </c>
      <c r="H6" s="85" t="s">
        <v>357</v>
      </c>
      <c r="I6" s="85">
        <v>0.4</v>
      </c>
      <c r="J6" s="85">
        <v>405</v>
      </c>
      <c r="K6" s="85" t="s">
        <v>319</v>
      </c>
      <c r="L6" s="145">
        <v>0.24099999999999999</v>
      </c>
      <c r="M6" s="85">
        <v>5.2819200000000004</v>
      </c>
      <c r="N6" s="85">
        <f t="shared" si="0"/>
        <v>5.2968365599574847</v>
      </c>
      <c r="O6" s="85"/>
      <c r="P6" s="85"/>
    </row>
    <row r="7" spans="1:16" hidden="1" x14ac:dyDescent="0.2">
      <c r="A7" s="85" t="s">
        <v>213</v>
      </c>
      <c r="B7" s="85" t="s">
        <v>234</v>
      </c>
      <c r="C7" s="85">
        <v>206</v>
      </c>
      <c r="D7" s="85">
        <v>3527.4</v>
      </c>
      <c r="E7" s="85">
        <v>0.8</v>
      </c>
      <c r="F7" s="85">
        <v>0.33</v>
      </c>
      <c r="G7" s="85">
        <v>3.0000000000000001E-3</v>
      </c>
      <c r="H7" s="85" t="s">
        <v>357</v>
      </c>
      <c r="I7" s="85">
        <v>0.9</v>
      </c>
      <c r="J7" s="85">
        <v>405</v>
      </c>
      <c r="K7" s="85" t="s">
        <v>319</v>
      </c>
      <c r="L7" s="145">
        <v>0.24099999999999999</v>
      </c>
      <c r="M7" s="85">
        <v>0.18864</v>
      </c>
      <c r="N7" s="85">
        <f t="shared" si="0"/>
        <v>0.18412032467961925</v>
      </c>
      <c r="O7" s="85"/>
      <c r="P7" s="85"/>
    </row>
    <row r="8" spans="1:16" hidden="1" x14ac:dyDescent="0.2">
      <c r="A8" s="85" t="s">
        <v>214</v>
      </c>
      <c r="B8" s="85" t="s">
        <v>234</v>
      </c>
      <c r="C8" s="85">
        <v>206</v>
      </c>
      <c r="D8" s="85">
        <v>2726.3</v>
      </c>
      <c r="E8" s="85">
        <v>0.9</v>
      </c>
      <c r="F8" s="85">
        <v>0.24</v>
      </c>
      <c r="G8" s="85">
        <v>3.0000000000000001E-3</v>
      </c>
      <c r="H8" s="85" t="s">
        <v>357</v>
      </c>
      <c r="I8" s="85">
        <v>1</v>
      </c>
      <c r="J8" s="85">
        <v>405</v>
      </c>
      <c r="K8" s="85" t="s">
        <v>319</v>
      </c>
      <c r="L8" s="145">
        <v>0.24099999999999999</v>
      </c>
      <c r="M8" s="85">
        <v>0.14148000000000002</v>
      </c>
      <c r="N8" s="85">
        <f t="shared" si="0"/>
        <v>0.14031721129514663</v>
      </c>
      <c r="O8" s="85"/>
      <c r="P8" s="85"/>
    </row>
    <row r="9" spans="1:16" hidden="1" x14ac:dyDescent="0.2">
      <c r="A9" s="85" t="s">
        <v>215</v>
      </c>
      <c r="B9" s="85" t="s">
        <v>234</v>
      </c>
      <c r="C9" s="85">
        <v>206</v>
      </c>
      <c r="D9" s="85">
        <v>16114.8</v>
      </c>
      <c r="E9" s="85">
        <v>1</v>
      </c>
      <c r="F9" s="85">
        <v>1.64</v>
      </c>
      <c r="G9" s="85">
        <v>1.7000000000000001E-2</v>
      </c>
      <c r="H9" s="85" t="s">
        <v>357</v>
      </c>
      <c r="I9" s="85">
        <v>1.1000000000000001</v>
      </c>
      <c r="J9" s="85">
        <v>405</v>
      </c>
      <c r="K9" s="85" t="s">
        <v>319</v>
      </c>
      <c r="L9" s="145">
        <v>0.24099999999999999</v>
      </c>
      <c r="M9" s="85">
        <v>0.9327200000000001</v>
      </c>
      <c r="N9" s="85">
        <f t="shared" si="0"/>
        <v>0.87238310013300913</v>
      </c>
      <c r="O9" s="85"/>
      <c r="P9" s="85"/>
    </row>
    <row r="10" spans="1:16" hidden="1" x14ac:dyDescent="0.2">
      <c r="A10" s="85" t="s">
        <v>216</v>
      </c>
      <c r="B10" s="85" t="s">
        <v>234</v>
      </c>
      <c r="C10" s="85">
        <v>206</v>
      </c>
      <c r="D10" s="85">
        <v>2212.5</v>
      </c>
      <c r="E10" s="85">
        <v>0.8</v>
      </c>
      <c r="F10" s="85">
        <v>0.19</v>
      </c>
      <c r="G10" s="85">
        <v>2E-3</v>
      </c>
      <c r="H10" s="85" t="s">
        <v>357</v>
      </c>
      <c r="I10" s="85">
        <v>1</v>
      </c>
      <c r="J10" s="85">
        <v>405</v>
      </c>
      <c r="K10" s="85" t="s">
        <v>319</v>
      </c>
      <c r="L10" s="145">
        <v>0.24099999999999999</v>
      </c>
      <c r="M10" s="85">
        <v>0.11004</v>
      </c>
      <c r="N10" s="85">
        <f t="shared" si="0"/>
        <v>0.11222329086456113</v>
      </c>
      <c r="O10" s="85"/>
      <c r="P10" s="85"/>
    </row>
    <row r="11" spans="1:16" hidden="1" x14ac:dyDescent="0.2">
      <c r="A11" s="85" t="s">
        <v>217</v>
      </c>
      <c r="B11" s="85" t="s">
        <v>234</v>
      </c>
      <c r="C11" s="85">
        <v>206</v>
      </c>
      <c r="D11" s="85">
        <v>2034.5</v>
      </c>
      <c r="E11" s="85">
        <v>1.2</v>
      </c>
      <c r="F11" s="85">
        <v>0.17</v>
      </c>
      <c r="G11" s="85">
        <v>3.0000000000000001E-3</v>
      </c>
      <c r="H11" s="85" t="s">
        <v>357</v>
      </c>
      <c r="I11" s="85">
        <v>1.5</v>
      </c>
      <c r="J11" s="85">
        <v>405</v>
      </c>
      <c r="K11" s="85" t="s">
        <v>319</v>
      </c>
      <c r="L11" s="145">
        <v>0.24099999999999999</v>
      </c>
      <c r="M11" s="85">
        <v>9.956000000000001E-2</v>
      </c>
      <c r="N11" s="85">
        <f t="shared" si="0"/>
        <v>0.10249048075042291</v>
      </c>
      <c r="O11" s="85"/>
      <c r="P11" s="85"/>
    </row>
    <row r="12" spans="1:16" hidden="1" x14ac:dyDescent="0.2">
      <c r="A12" s="85" t="s">
        <v>371</v>
      </c>
      <c r="B12" s="85" t="s">
        <v>234</v>
      </c>
      <c r="C12" s="85">
        <v>206</v>
      </c>
      <c r="D12" s="85">
        <v>76597.5</v>
      </c>
      <c r="E12" s="85">
        <v>0.6</v>
      </c>
      <c r="F12" s="85">
        <v>7.94</v>
      </c>
      <c r="G12" s="85">
        <v>5.1999999999999998E-2</v>
      </c>
      <c r="H12" s="85" t="s">
        <v>357</v>
      </c>
      <c r="I12" s="85">
        <v>0.7</v>
      </c>
      <c r="J12" s="85">
        <v>405</v>
      </c>
      <c r="K12" s="85" t="s">
        <v>319</v>
      </c>
      <c r="L12" s="145">
        <v>0.24099999999999999</v>
      </c>
      <c r="M12" s="85">
        <v>4.1396000000000006</v>
      </c>
      <c r="N12" s="85">
        <f t="shared" si="0"/>
        <v>4.1794990231127152</v>
      </c>
      <c r="O12" s="85"/>
      <c r="P12" s="85"/>
    </row>
    <row r="13" spans="1:16" hidden="1" x14ac:dyDescent="0.2">
      <c r="A13" s="85" t="s">
        <v>218</v>
      </c>
      <c r="B13" s="85" t="s">
        <v>234</v>
      </c>
      <c r="C13" s="85">
        <v>206</v>
      </c>
      <c r="D13" s="85">
        <v>1313.7</v>
      </c>
      <c r="E13" s="85">
        <v>5.5</v>
      </c>
      <c r="F13" s="85">
        <v>0.09</v>
      </c>
      <c r="G13" s="85">
        <v>8.0000000000000002E-3</v>
      </c>
      <c r="H13" s="85" t="s">
        <v>357</v>
      </c>
      <c r="I13" s="85">
        <v>7.9</v>
      </c>
      <c r="J13" s="85">
        <v>405</v>
      </c>
      <c r="K13" s="85" t="s">
        <v>319</v>
      </c>
      <c r="L13" s="145">
        <v>0.24099999999999999</v>
      </c>
      <c r="M13" s="85">
        <v>5.2400000000000002E-2</v>
      </c>
      <c r="N13" s="85">
        <f t="shared" si="0"/>
        <v>6.3078067659013776E-2</v>
      </c>
      <c r="O13" s="85"/>
      <c r="P13" s="85"/>
    </row>
    <row r="14" spans="1:16" hidden="1" x14ac:dyDescent="0.2">
      <c r="A14" s="85" t="s">
        <v>219</v>
      </c>
      <c r="B14" s="85" t="s">
        <v>234</v>
      </c>
      <c r="C14" s="85">
        <v>206</v>
      </c>
      <c r="D14" s="85">
        <v>2646.6</v>
      </c>
      <c r="E14" s="85">
        <v>1</v>
      </c>
      <c r="F14" s="85">
        <v>0.23</v>
      </c>
      <c r="G14" s="85">
        <v>3.0000000000000001E-3</v>
      </c>
      <c r="H14" s="85" t="s">
        <v>357</v>
      </c>
      <c r="I14" s="85">
        <v>1.2</v>
      </c>
      <c r="J14" s="85">
        <v>405</v>
      </c>
      <c r="K14" s="85" t="s">
        <v>319</v>
      </c>
      <c r="L14" s="145">
        <v>0.24099999999999999</v>
      </c>
      <c r="M14" s="85">
        <v>0.13624</v>
      </c>
      <c r="N14" s="85">
        <f t="shared" si="0"/>
        <v>0.13595931822718699</v>
      </c>
      <c r="O14" s="85"/>
      <c r="P14" s="85"/>
    </row>
    <row r="15" spans="1:16" hidden="1" x14ac:dyDescent="0.2">
      <c r="A15" s="85" t="s">
        <v>220</v>
      </c>
      <c r="B15" s="85" t="s">
        <v>234</v>
      </c>
      <c r="C15" s="85">
        <v>206</v>
      </c>
      <c r="D15" s="85">
        <v>3931.2</v>
      </c>
      <c r="E15" s="85">
        <v>0.7</v>
      </c>
      <c r="F15" s="85">
        <v>0.37</v>
      </c>
      <c r="G15" s="85">
        <v>3.0000000000000001E-3</v>
      </c>
      <c r="H15" s="85" t="s">
        <v>357</v>
      </c>
      <c r="I15" s="85">
        <v>0.7</v>
      </c>
      <c r="J15" s="85">
        <v>405</v>
      </c>
      <c r="K15" s="85" t="s">
        <v>319</v>
      </c>
      <c r="L15" s="145">
        <v>0.24099999999999999</v>
      </c>
      <c r="M15" s="85">
        <v>0.20960000000000001</v>
      </c>
      <c r="N15" s="85">
        <f t="shared" si="0"/>
        <v>0.20619958717450132</v>
      </c>
      <c r="O15" s="85"/>
      <c r="P15" s="85"/>
    </row>
    <row r="16" spans="1:16" hidden="1" x14ac:dyDescent="0.2">
      <c r="A16" s="85" t="s">
        <v>221</v>
      </c>
      <c r="B16" s="85" t="s">
        <v>234</v>
      </c>
      <c r="C16" s="85">
        <v>206</v>
      </c>
      <c r="D16" s="85">
        <v>1011</v>
      </c>
      <c r="E16" s="85">
        <v>1.2</v>
      </c>
      <c r="F16" s="85">
        <v>0.06</v>
      </c>
      <c r="G16" s="85">
        <v>1E-3</v>
      </c>
      <c r="H16" s="85" t="s">
        <v>357</v>
      </c>
      <c r="I16" s="85">
        <v>1.9</v>
      </c>
      <c r="J16" s="85">
        <v>405</v>
      </c>
      <c r="K16" s="85" t="s">
        <v>319</v>
      </c>
      <c r="L16" s="145">
        <v>0.24099999999999999</v>
      </c>
      <c r="M16" s="85">
        <v>3.6680000000000004E-2</v>
      </c>
      <c r="N16" s="85">
        <f t="shared" si="0"/>
        <v>4.6526822594128159E-2</v>
      </c>
      <c r="O16" s="85"/>
      <c r="P16" s="85"/>
    </row>
    <row r="17" spans="1:16" hidden="1" x14ac:dyDescent="0.2">
      <c r="A17" s="85" t="s">
        <v>222</v>
      </c>
      <c r="B17" s="85" t="s">
        <v>234</v>
      </c>
      <c r="C17" s="85">
        <v>206</v>
      </c>
      <c r="D17" s="85">
        <v>2429.9</v>
      </c>
      <c r="E17" s="85">
        <v>2.1</v>
      </c>
      <c r="F17" s="85">
        <v>0.21</v>
      </c>
      <c r="G17" s="85">
        <v>5.0000000000000001E-3</v>
      </c>
      <c r="H17" s="85" t="s">
        <v>357</v>
      </c>
      <c r="I17" s="85">
        <v>2.5</v>
      </c>
      <c r="J17" s="85">
        <v>405</v>
      </c>
      <c r="K17" s="85" t="s">
        <v>319</v>
      </c>
      <c r="L17" s="145">
        <v>0.24099999999999999</v>
      </c>
      <c r="M17" s="85">
        <v>0.12052000000000002</v>
      </c>
      <c r="N17" s="85">
        <f t="shared" si="0"/>
        <v>0.1241104420938513</v>
      </c>
      <c r="O17" s="85"/>
      <c r="P17" s="85"/>
    </row>
    <row r="18" spans="1:16" hidden="1" x14ac:dyDescent="0.2">
      <c r="A18" s="85" t="s">
        <v>223</v>
      </c>
      <c r="B18" s="85" t="s">
        <v>234</v>
      </c>
      <c r="C18" s="85">
        <v>206</v>
      </c>
      <c r="D18" s="85">
        <v>1080.4000000000001</v>
      </c>
      <c r="E18" s="85">
        <v>1.6</v>
      </c>
      <c r="F18" s="85">
        <v>7.0000000000000007E-2</v>
      </c>
      <c r="G18" s="85">
        <v>2E-3</v>
      </c>
      <c r="H18" s="85" t="s">
        <v>357</v>
      </c>
      <c r="I18" s="85">
        <v>2.6</v>
      </c>
      <c r="J18" s="85">
        <v>405</v>
      </c>
      <c r="K18" s="85" t="s">
        <v>319</v>
      </c>
      <c r="L18" s="145">
        <v>0.24099999999999999</v>
      </c>
      <c r="M18" s="85">
        <v>4.1920000000000006E-2</v>
      </c>
      <c r="N18" s="85">
        <f t="shared" si="0"/>
        <v>5.0321524964471939E-2</v>
      </c>
      <c r="O18" s="85"/>
      <c r="P18" s="85"/>
    </row>
    <row r="19" spans="1:16" hidden="1" x14ac:dyDescent="0.2">
      <c r="A19" s="85" t="s">
        <v>379</v>
      </c>
      <c r="B19" s="85" t="s">
        <v>234</v>
      </c>
      <c r="C19" s="85">
        <v>206</v>
      </c>
      <c r="D19" s="85">
        <v>73460.7</v>
      </c>
      <c r="E19" s="85">
        <v>0.6</v>
      </c>
      <c r="F19" s="85">
        <v>7.62</v>
      </c>
      <c r="G19" s="85">
        <v>4.5999999999999999E-2</v>
      </c>
      <c r="H19" s="85" t="s">
        <v>357</v>
      </c>
      <c r="I19" s="85">
        <v>0.6</v>
      </c>
      <c r="J19" s="85">
        <v>405</v>
      </c>
      <c r="K19" s="85" t="s">
        <v>319</v>
      </c>
      <c r="L19" s="145">
        <v>0.24099999999999999</v>
      </c>
      <c r="M19" s="85">
        <v>3.9928800000000004</v>
      </c>
      <c r="N19" s="85">
        <f t="shared" si="0"/>
        <v>4.0079828502698565</v>
      </c>
      <c r="O19" s="85"/>
      <c r="P19" s="85"/>
    </row>
    <row r="20" spans="1:16" hidden="1" x14ac:dyDescent="0.2">
      <c r="A20" s="85" t="s">
        <v>340</v>
      </c>
      <c r="B20" s="85" t="s">
        <v>234</v>
      </c>
      <c r="C20" s="85">
        <v>206</v>
      </c>
      <c r="D20" s="85">
        <v>453.3</v>
      </c>
      <c r="E20" s="85">
        <v>3.3</v>
      </c>
      <c r="F20" s="85"/>
      <c r="G20" s="85"/>
      <c r="H20" s="85" t="s">
        <v>357</v>
      </c>
      <c r="I20" s="85"/>
      <c r="J20" s="85"/>
      <c r="K20" s="85" t="s">
        <v>319</v>
      </c>
      <c r="L20" s="145">
        <v>0.24099999999999999</v>
      </c>
      <c r="M20" s="85">
        <v>0</v>
      </c>
      <c r="N20" s="85">
        <f>(D20-$P$21)/$P$20</f>
        <v>-7.0119941326023724E-3</v>
      </c>
      <c r="O20" s="85" t="s">
        <v>425</v>
      </c>
      <c r="P20" s="85">
        <f>SLOPE(D20:D24,M20:M24)</f>
        <v>18294.137276214482</v>
      </c>
    </row>
    <row r="21" spans="1:16" hidden="1" x14ac:dyDescent="0.2">
      <c r="A21" s="85" t="s">
        <v>358</v>
      </c>
      <c r="B21" s="85" t="s">
        <v>234</v>
      </c>
      <c r="C21" s="85">
        <v>206</v>
      </c>
      <c r="D21" s="85">
        <v>24265.9</v>
      </c>
      <c r="E21" s="85">
        <v>1.7</v>
      </c>
      <c r="F21" s="85">
        <v>2.48</v>
      </c>
      <c r="G21" s="85">
        <v>4.2999999999999997E-2</v>
      </c>
      <c r="H21" s="85" t="s">
        <v>357</v>
      </c>
      <c r="I21" s="85">
        <v>1.7</v>
      </c>
      <c r="J21" s="85">
        <v>453</v>
      </c>
      <c r="K21" s="85" t="s">
        <v>319</v>
      </c>
      <c r="L21" s="145">
        <v>0.24099999999999999</v>
      </c>
      <c r="M21" s="85">
        <v>1.2942800000000001</v>
      </c>
      <c r="N21" s="85">
        <f t="shared" ref="N21:N44" si="1">(D21-$P$21)/$P$20</f>
        <v>1.2946399854313899</v>
      </c>
      <c r="O21" s="85" t="s">
        <v>426</v>
      </c>
      <c r="P21" s="85">
        <f>INTERCEPT(D20:D24,M20:M24)</f>
        <v>581.57838324183831</v>
      </c>
    </row>
    <row r="22" spans="1:16" hidden="1" x14ac:dyDescent="0.2">
      <c r="A22" s="85" t="s">
        <v>360</v>
      </c>
      <c r="B22" s="85" t="s">
        <v>234</v>
      </c>
      <c r="C22" s="85">
        <v>206</v>
      </c>
      <c r="D22" s="85">
        <v>48272.1</v>
      </c>
      <c r="E22" s="85">
        <v>0.9</v>
      </c>
      <c r="F22" s="85">
        <v>4.9800000000000004</v>
      </c>
      <c r="G22" s="85">
        <v>4.5999999999999999E-2</v>
      </c>
      <c r="H22" s="85" t="s">
        <v>357</v>
      </c>
      <c r="I22" s="85">
        <v>0.9</v>
      </c>
      <c r="J22" s="85">
        <v>453</v>
      </c>
      <c r="K22" s="85" t="s">
        <v>319</v>
      </c>
      <c r="L22" s="145">
        <v>0.24099999999999999</v>
      </c>
      <c r="M22" s="85">
        <v>2.5938000000000003</v>
      </c>
      <c r="N22" s="85">
        <f t="shared" si="1"/>
        <v>2.6068745902964237</v>
      </c>
      <c r="O22" s="85" t="s">
        <v>427</v>
      </c>
      <c r="P22" s="85">
        <f>CORREL(D20:D24,M20:M24)</f>
        <v>0.99999226915816708</v>
      </c>
    </row>
    <row r="23" spans="1:16" hidden="1" x14ac:dyDescent="0.2">
      <c r="A23" s="85" t="s">
        <v>362</v>
      </c>
      <c r="B23" s="85" t="s">
        <v>234</v>
      </c>
      <c r="C23" s="85">
        <v>206</v>
      </c>
      <c r="D23" s="85">
        <v>72005.7</v>
      </c>
      <c r="E23" s="85">
        <v>0.7</v>
      </c>
      <c r="F23" s="85">
        <v>7.45</v>
      </c>
      <c r="G23" s="85">
        <v>4.9000000000000002E-2</v>
      </c>
      <c r="H23" s="85" t="s">
        <v>357</v>
      </c>
      <c r="I23" s="85">
        <v>0.7</v>
      </c>
      <c r="J23" s="85">
        <v>453</v>
      </c>
      <c r="K23" s="85" t="s">
        <v>319</v>
      </c>
      <c r="L23" s="145">
        <v>0.24099999999999999</v>
      </c>
      <c r="M23" s="85">
        <v>3.9038000000000004</v>
      </c>
      <c r="N23" s="85">
        <f t="shared" si="1"/>
        <v>3.9042082465195982</v>
      </c>
      <c r="O23" s="85"/>
      <c r="P23" s="85"/>
    </row>
    <row r="24" spans="1:16" hidden="1" x14ac:dyDescent="0.2">
      <c r="A24" s="85" t="s">
        <v>364</v>
      </c>
      <c r="B24" s="85" t="s">
        <v>234</v>
      </c>
      <c r="C24" s="85">
        <v>206</v>
      </c>
      <c r="D24" s="85">
        <v>96797.2</v>
      </c>
      <c r="E24" s="85">
        <v>0.9</v>
      </c>
      <c r="F24" s="85">
        <v>10.039999999999999</v>
      </c>
      <c r="G24" s="85">
        <v>9.2999999999999999E-2</v>
      </c>
      <c r="H24" s="85" t="s">
        <v>357</v>
      </c>
      <c r="I24" s="85">
        <v>0.9</v>
      </c>
      <c r="J24" s="85">
        <v>453</v>
      </c>
      <c r="K24" s="85" t="s">
        <v>319</v>
      </c>
      <c r="L24" s="145">
        <v>0.24099999999999999</v>
      </c>
      <c r="M24" s="85">
        <v>5.2662000000000004</v>
      </c>
      <c r="N24" s="85">
        <f t="shared" si="1"/>
        <v>5.2593691718851909</v>
      </c>
      <c r="O24" s="85"/>
      <c r="P24" s="85"/>
    </row>
    <row r="25" spans="1:16" x14ac:dyDescent="0.2">
      <c r="A25" s="85" t="s">
        <v>235</v>
      </c>
      <c r="B25" s="85" t="s">
        <v>234</v>
      </c>
      <c r="C25" s="85">
        <v>206</v>
      </c>
      <c r="D25" s="85">
        <v>1655.1</v>
      </c>
      <c r="E25" s="85">
        <v>3.6</v>
      </c>
      <c r="F25" s="85">
        <v>0.13</v>
      </c>
      <c r="G25" s="85">
        <v>6.0000000000000001E-3</v>
      </c>
      <c r="H25" s="85" t="s">
        <v>357</v>
      </c>
      <c r="I25" s="85">
        <v>5</v>
      </c>
      <c r="J25" s="85">
        <v>453</v>
      </c>
      <c r="K25" s="85" t="s">
        <v>319</v>
      </c>
      <c r="L25" s="145">
        <v>0.24099999999999999</v>
      </c>
      <c r="M25" s="85">
        <v>7.3360000000000009E-2</v>
      </c>
      <c r="N25" s="85">
        <f t="shared" si="1"/>
        <v>5.8681182968596389E-2</v>
      </c>
      <c r="O25" s="85"/>
      <c r="P25" s="85"/>
    </row>
    <row r="26" spans="1:16" x14ac:dyDescent="0.2">
      <c r="A26" s="85" t="s">
        <v>236</v>
      </c>
      <c r="B26" s="85" t="s">
        <v>234</v>
      </c>
      <c r="C26" s="85">
        <v>206</v>
      </c>
      <c r="D26" s="85">
        <v>1406.7</v>
      </c>
      <c r="E26" s="85">
        <v>3</v>
      </c>
      <c r="F26" s="85">
        <v>0.1</v>
      </c>
      <c r="G26" s="85">
        <v>4.0000000000000001E-3</v>
      </c>
      <c r="H26" s="85" t="s">
        <v>357</v>
      </c>
      <c r="I26" s="85">
        <v>4.4000000000000004</v>
      </c>
      <c r="J26" s="85">
        <v>453</v>
      </c>
      <c r="K26" s="85" t="s">
        <v>319</v>
      </c>
      <c r="L26" s="145">
        <v>0.24099999999999999</v>
      </c>
      <c r="M26" s="85">
        <v>5.7640000000000004E-2</v>
      </c>
      <c r="N26" s="85">
        <f t="shared" si="1"/>
        <v>4.5103062489367095E-2</v>
      </c>
      <c r="O26" s="85"/>
      <c r="P26" s="85"/>
    </row>
    <row r="27" spans="1:16" x14ac:dyDescent="0.2">
      <c r="A27" s="85" t="s">
        <v>237</v>
      </c>
      <c r="B27" s="85" t="s">
        <v>234</v>
      </c>
      <c r="C27" s="85">
        <v>206</v>
      </c>
      <c r="D27" s="85">
        <v>2629.2</v>
      </c>
      <c r="E27" s="85">
        <v>2.4</v>
      </c>
      <c r="F27" s="85">
        <v>0.23</v>
      </c>
      <c r="G27" s="85">
        <v>7.0000000000000001E-3</v>
      </c>
      <c r="H27" s="85" t="s">
        <v>357</v>
      </c>
      <c r="I27" s="85">
        <v>2.9</v>
      </c>
      <c r="J27" s="85">
        <v>453</v>
      </c>
      <c r="K27" s="85" t="s">
        <v>319</v>
      </c>
      <c r="L27" s="145">
        <v>0.24099999999999999</v>
      </c>
      <c r="M27" s="85">
        <v>0.13100000000000001</v>
      </c>
      <c r="N27" s="85">
        <f t="shared" si="1"/>
        <v>0.11192774963050163</v>
      </c>
      <c r="O27" s="85"/>
      <c r="P27" s="85"/>
    </row>
    <row r="28" spans="1:16" x14ac:dyDescent="0.2">
      <c r="A28" s="85" t="s">
        <v>238</v>
      </c>
      <c r="B28" s="85" t="s">
        <v>234</v>
      </c>
      <c r="C28" s="85">
        <v>206</v>
      </c>
      <c r="D28" s="85">
        <v>2934.3</v>
      </c>
      <c r="E28" s="85">
        <v>1.3</v>
      </c>
      <c r="F28" s="85">
        <v>0.26</v>
      </c>
      <c r="G28" s="85">
        <v>4.0000000000000001E-3</v>
      </c>
      <c r="H28" s="85" t="s">
        <v>357</v>
      </c>
      <c r="I28" s="85">
        <v>1.5</v>
      </c>
      <c r="J28" s="85">
        <v>453</v>
      </c>
      <c r="K28" s="85" t="s">
        <v>319</v>
      </c>
      <c r="L28" s="145">
        <v>0.24099999999999999</v>
      </c>
      <c r="M28" s="85">
        <v>0.15195999999999998</v>
      </c>
      <c r="N28" s="85">
        <f t="shared" si="1"/>
        <v>0.12860522369738112</v>
      </c>
      <c r="O28" s="85"/>
      <c r="P28" s="85"/>
    </row>
    <row r="29" spans="1:16" x14ac:dyDescent="0.2">
      <c r="A29" s="85" t="s">
        <v>239</v>
      </c>
      <c r="B29" s="85" t="s">
        <v>234</v>
      </c>
      <c r="C29" s="85">
        <v>206</v>
      </c>
      <c r="D29" s="85">
        <v>631</v>
      </c>
      <c r="E29" s="85">
        <v>4.8</v>
      </c>
      <c r="F29" s="85">
        <v>0.02</v>
      </c>
      <c r="G29" s="85">
        <v>3.0000000000000001E-3</v>
      </c>
      <c r="H29" s="85" t="s">
        <v>357</v>
      </c>
      <c r="I29" s="85">
        <v>17.100000000000001</v>
      </c>
      <c r="J29" s="85">
        <v>453</v>
      </c>
      <c r="K29" s="85" t="s">
        <v>319</v>
      </c>
      <c r="L29" s="145">
        <v>0.24099999999999999</v>
      </c>
      <c r="M29" s="85">
        <v>5.2400000000000007E-3</v>
      </c>
      <c r="N29" s="85">
        <f t="shared" si="1"/>
        <v>2.7015002681989421E-3</v>
      </c>
      <c r="O29" s="85"/>
      <c r="P29" s="85"/>
    </row>
    <row r="30" spans="1:16" hidden="1" x14ac:dyDescent="0.2">
      <c r="A30" s="85" t="s">
        <v>391</v>
      </c>
      <c r="B30" s="85" t="s">
        <v>234</v>
      </c>
      <c r="C30" s="85">
        <v>206</v>
      </c>
      <c r="D30" s="85">
        <v>72256.3</v>
      </c>
      <c r="E30" s="85">
        <v>0.4</v>
      </c>
      <c r="F30" s="85">
        <v>7.48</v>
      </c>
      <c r="G30" s="85">
        <v>0.03</v>
      </c>
      <c r="H30" s="85" t="s">
        <v>357</v>
      </c>
      <c r="I30" s="85">
        <v>0.4</v>
      </c>
      <c r="J30" s="85">
        <v>453</v>
      </c>
      <c r="K30" s="85" t="s">
        <v>319</v>
      </c>
      <c r="L30" s="145">
        <v>0.24099999999999999</v>
      </c>
      <c r="M30" s="85">
        <v>3.9038000000000004</v>
      </c>
      <c r="N30" s="85">
        <f t="shared" si="1"/>
        <v>3.9179066241045213</v>
      </c>
      <c r="O30" s="85"/>
      <c r="P30" s="85"/>
    </row>
    <row r="31" spans="1:16" x14ac:dyDescent="0.2">
      <c r="A31" s="85" t="s">
        <v>240</v>
      </c>
      <c r="B31" s="85" t="s">
        <v>234</v>
      </c>
      <c r="C31" s="85">
        <v>206</v>
      </c>
      <c r="D31" s="85">
        <v>623.29999999999995</v>
      </c>
      <c r="E31" s="85">
        <v>5.4</v>
      </c>
      <c r="F31" s="85">
        <v>0.02</v>
      </c>
      <c r="G31" s="85">
        <v>4.0000000000000001E-3</v>
      </c>
      <c r="H31" s="85" t="s">
        <v>357</v>
      </c>
      <c r="I31" s="85">
        <v>19.899999999999999</v>
      </c>
      <c r="J31" s="85">
        <v>453</v>
      </c>
      <c r="K31" s="85" t="s">
        <v>319</v>
      </c>
      <c r="L31" s="145">
        <v>0.24099999999999999</v>
      </c>
      <c r="M31" s="85">
        <v>1.0480000000000001E-2</v>
      </c>
      <c r="N31" s="85">
        <f t="shared" si="1"/>
        <v>2.2806003982711394E-3</v>
      </c>
      <c r="O31" s="85"/>
      <c r="P31" s="85"/>
    </row>
    <row r="32" spans="1:16" x14ac:dyDescent="0.2">
      <c r="A32" s="85" t="s">
        <v>241</v>
      </c>
      <c r="B32" s="85" t="s">
        <v>234</v>
      </c>
      <c r="C32" s="85">
        <v>206</v>
      </c>
      <c r="D32" s="85">
        <v>1477.7</v>
      </c>
      <c r="E32" s="85">
        <v>3.5</v>
      </c>
      <c r="F32" s="85">
        <v>0.11</v>
      </c>
      <c r="G32" s="85">
        <v>5.0000000000000001E-3</v>
      </c>
      <c r="H32" s="85" t="s">
        <v>357</v>
      </c>
      <c r="I32" s="85">
        <v>5</v>
      </c>
      <c r="J32" s="85">
        <v>453</v>
      </c>
      <c r="K32" s="85" t="s">
        <v>319</v>
      </c>
      <c r="L32" s="145">
        <v>0.24099999999999999</v>
      </c>
      <c r="M32" s="85">
        <v>5.7640000000000004E-2</v>
      </c>
      <c r="N32" s="85">
        <f t="shared" si="1"/>
        <v>4.8984087264026033E-2</v>
      </c>
      <c r="O32" s="85"/>
      <c r="P32" s="85"/>
    </row>
    <row r="33" spans="1:16" x14ac:dyDescent="0.2">
      <c r="A33" s="85" t="s">
        <v>242</v>
      </c>
      <c r="B33" s="85" t="s">
        <v>234</v>
      </c>
      <c r="C33" s="85">
        <v>206</v>
      </c>
      <c r="D33" s="85">
        <v>1421.7</v>
      </c>
      <c r="E33" s="85">
        <v>1.1000000000000001</v>
      </c>
      <c r="F33" s="85">
        <v>0.1</v>
      </c>
      <c r="G33" s="85">
        <v>2E-3</v>
      </c>
      <c r="H33" s="85" t="s">
        <v>357</v>
      </c>
      <c r="I33" s="85">
        <v>1.7</v>
      </c>
      <c r="J33" s="85">
        <v>453</v>
      </c>
      <c r="K33" s="85" t="s">
        <v>319</v>
      </c>
      <c r="L33" s="145">
        <v>0.24099999999999999</v>
      </c>
      <c r="M33" s="85">
        <v>5.7640000000000004E-2</v>
      </c>
      <c r="N33" s="85">
        <f t="shared" si="1"/>
        <v>4.5922997300914759E-2</v>
      </c>
      <c r="O33" s="85"/>
      <c r="P33" s="85"/>
    </row>
    <row r="34" spans="1:16" x14ac:dyDescent="0.2">
      <c r="A34" s="85" t="s">
        <v>243</v>
      </c>
      <c r="B34" s="85" t="s">
        <v>234</v>
      </c>
      <c r="C34" s="85">
        <v>206</v>
      </c>
      <c r="D34" s="85">
        <v>504.7</v>
      </c>
      <c r="E34" s="85">
        <v>4.9000000000000004</v>
      </c>
      <c r="F34" s="85">
        <v>0.01</v>
      </c>
      <c r="G34" s="85">
        <v>3.0000000000000001E-3</v>
      </c>
      <c r="H34" s="85" t="s">
        <v>357</v>
      </c>
      <c r="I34" s="85">
        <v>48</v>
      </c>
      <c r="J34" s="85">
        <v>453</v>
      </c>
      <c r="K34" s="85" t="s">
        <v>319</v>
      </c>
      <c r="L34" s="145">
        <v>0.24099999999999999</v>
      </c>
      <c r="M34" s="85">
        <v>0</v>
      </c>
      <c r="N34" s="85">
        <f t="shared" si="1"/>
        <v>-4.2023508450323814E-3</v>
      </c>
      <c r="O34" s="85"/>
      <c r="P34" s="85"/>
    </row>
    <row r="35" spans="1:16" x14ac:dyDescent="0.2">
      <c r="A35" s="85" t="s">
        <v>244</v>
      </c>
      <c r="B35" s="85" t="s">
        <v>234</v>
      </c>
      <c r="C35" s="85">
        <v>206</v>
      </c>
      <c r="D35" s="85">
        <v>499</v>
      </c>
      <c r="E35" s="85">
        <v>7.1</v>
      </c>
      <c r="F35" s="85">
        <v>0</v>
      </c>
      <c r="G35" s="85">
        <v>4.0000000000000001E-3</v>
      </c>
      <c r="H35" s="85" t="s">
        <v>357</v>
      </c>
      <c r="I35" s="85">
        <v>77.900000000000006</v>
      </c>
      <c r="J35" s="85">
        <v>453</v>
      </c>
      <c r="K35" s="85" t="s">
        <v>319</v>
      </c>
      <c r="L35" s="145">
        <v>0.24099999999999999</v>
      </c>
      <c r="M35" s="85">
        <v>5.2400000000000007E-3</v>
      </c>
      <c r="N35" s="85">
        <f t="shared" si="1"/>
        <v>-4.5139260734204933E-3</v>
      </c>
      <c r="O35" s="85"/>
      <c r="P35" s="85"/>
    </row>
    <row r="36" spans="1:16" x14ac:dyDescent="0.2">
      <c r="A36" s="85" t="s">
        <v>245</v>
      </c>
      <c r="B36" s="85" t="s">
        <v>234</v>
      </c>
      <c r="C36" s="85">
        <v>206</v>
      </c>
      <c r="D36" s="85">
        <v>881</v>
      </c>
      <c r="E36" s="85">
        <v>3.3</v>
      </c>
      <c r="F36" s="85">
        <v>0.04</v>
      </c>
      <c r="G36" s="85">
        <v>3.0000000000000001E-3</v>
      </c>
      <c r="H36" s="85" t="s">
        <v>357</v>
      </c>
      <c r="I36" s="85">
        <v>6.8</v>
      </c>
      <c r="J36" s="85">
        <v>453</v>
      </c>
      <c r="K36" s="85" t="s">
        <v>319</v>
      </c>
      <c r="L36" s="145">
        <v>0.24099999999999999</v>
      </c>
      <c r="M36" s="85">
        <v>2.6200000000000001E-2</v>
      </c>
      <c r="N36" s="85">
        <f t="shared" si="1"/>
        <v>1.6367080460659995E-2</v>
      </c>
      <c r="O36" s="85"/>
      <c r="P36" s="85"/>
    </row>
    <row r="37" spans="1:16" hidden="1" x14ac:dyDescent="0.2">
      <c r="A37" s="85" t="s">
        <v>106</v>
      </c>
      <c r="B37" s="85" t="s">
        <v>234</v>
      </c>
      <c r="C37" s="85">
        <v>206</v>
      </c>
      <c r="D37" s="85">
        <v>444.7</v>
      </c>
      <c r="E37" s="85">
        <v>3</v>
      </c>
      <c r="F37" s="85">
        <v>0</v>
      </c>
      <c r="G37" s="85">
        <v>1E-3</v>
      </c>
      <c r="H37" s="85" t="s">
        <v>357</v>
      </c>
      <c r="I37" s="85">
        <v>153.69999999999999</v>
      </c>
      <c r="J37" s="85">
        <v>453</v>
      </c>
      <c r="K37" s="85" t="s">
        <v>319</v>
      </c>
      <c r="L37" s="145">
        <v>0.24099999999999999</v>
      </c>
      <c r="M37" s="85">
        <v>0</v>
      </c>
      <c r="N37" s="85">
        <f t="shared" si="1"/>
        <v>-7.4820900912230337E-3</v>
      </c>
      <c r="O37" s="85"/>
      <c r="P37" s="85"/>
    </row>
    <row r="38" spans="1:16" hidden="1" x14ac:dyDescent="0.2">
      <c r="A38" s="85" t="s">
        <v>107</v>
      </c>
      <c r="B38" s="85" t="s">
        <v>234</v>
      </c>
      <c r="C38" s="85">
        <v>206</v>
      </c>
      <c r="D38" s="85">
        <v>458.3</v>
      </c>
      <c r="E38" s="85">
        <v>8.1</v>
      </c>
      <c r="F38" s="85">
        <v>0</v>
      </c>
      <c r="G38" s="85">
        <v>4.0000000000000001E-3</v>
      </c>
      <c r="H38" s="85" t="s">
        <v>357</v>
      </c>
      <c r="I38" s="85">
        <v>740.1</v>
      </c>
      <c r="J38" s="85">
        <v>453</v>
      </c>
      <c r="K38" s="85" t="s">
        <v>319</v>
      </c>
      <c r="L38" s="145">
        <v>0.24099999999999999</v>
      </c>
      <c r="M38" s="85">
        <v>-5.2400000000000007E-3</v>
      </c>
      <c r="N38" s="85">
        <f t="shared" si="1"/>
        <v>-6.7386825287531517E-3</v>
      </c>
      <c r="O38" s="85"/>
      <c r="P38" s="85"/>
    </row>
    <row r="39" spans="1:16" hidden="1" x14ac:dyDescent="0.2">
      <c r="A39" s="85" t="s">
        <v>108</v>
      </c>
      <c r="B39" s="85" t="s">
        <v>234</v>
      </c>
      <c r="C39" s="85">
        <v>206</v>
      </c>
      <c r="D39" s="85">
        <v>403.3</v>
      </c>
      <c r="E39" s="85">
        <v>3</v>
      </c>
      <c r="F39" s="85">
        <v>-0.01</v>
      </c>
      <c r="G39" s="85">
        <v>1E-3</v>
      </c>
      <c r="H39" s="85" t="s">
        <v>357</v>
      </c>
      <c r="I39" s="85">
        <v>23.9</v>
      </c>
      <c r="J39" s="85">
        <v>453</v>
      </c>
      <c r="K39" s="85" t="s">
        <v>319</v>
      </c>
      <c r="L39" s="145">
        <v>0.24099999999999999</v>
      </c>
      <c r="M39" s="85">
        <v>0</v>
      </c>
      <c r="N39" s="85">
        <f t="shared" si="1"/>
        <v>-9.7451101710945825E-3</v>
      </c>
      <c r="O39" s="85"/>
      <c r="P39" s="85"/>
    </row>
    <row r="40" spans="1:16" hidden="1" x14ac:dyDescent="0.2">
      <c r="A40" s="85" t="s">
        <v>248</v>
      </c>
      <c r="B40" s="85" t="s">
        <v>234</v>
      </c>
      <c r="C40" s="85">
        <v>206</v>
      </c>
      <c r="D40" s="85">
        <v>433.7</v>
      </c>
      <c r="E40" s="85">
        <v>5.5</v>
      </c>
      <c r="F40" s="85">
        <v>0</v>
      </c>
      <c r="G40" s="85">
        <v>3.0000000000000001E-3</v>
      </c>
      <c r="H40" s="85" t="s">
        <v>357</v>
      </c>
      <c r="I40" s="85">
        <v>122.1</v>
      </c>
      <c r="J40" s="85">
        <v>453</v>
      </c>
      <c r="K40" s="85" t="s">
        <v>319</v>
      </c>
      <c r="L40" s="145">
        <v>0.24099999999999999</v>
      </c>
      <c r="M40" s="85">
        <v>-5.2400000000000007E-3</v>
      </c>
      <c r="N40" s="85">
        <f t="shared" si="1"/>
        <v>-8.0833756196913211E-3</v>
      </c>
      <c r="O40" s="85"/>
      <c r="P40" s="85"/>
    </row>
    <row r="41" spans="1:16" hidden="1" x14ac:dyDescent="0.2">
      <c r="A41" s="85" t="s">
        <v>249</v>
      </c>
      <c r="B41" s="85" t="s">
        <v>234</v>
      </c>
      <c r="C41" s="85">
        <v>206</v>
      </c>
      <c r="D41" s="85">
        <v>425</v>
      </c>
      <c r="E41" s="85">
        <v>8.6</v>
      </c>
      <c r="F41" s="85">
        <v>0</v>
      </c>
      <c r="G41" s="85">
        <v>4.0000000000000001E-3</v>
      </c>
      <c r="H41" s="85" t="s">
        <v>357</v>
      </c>
      <c r="I41" s="85">
        <v>128.4</v>
      </c>
      <c r="J41" s="85">
        <v>453</v>
      </c>
      <c r="K41" s="85" t="s">
        <v>319</v>
      </c>
      <c r="L41" s="145">
        <v>0.24099999999999999</v>
      </c>
      <c r="M41" s="85">
        <v>0</v>
      </c>
      <c r="N41" s="85">
        <f t="shared" si="1"/>
        <v>-8.5589378103889651E-3</v>
      </c>
      <c r="O41" s="85"/>
      <c r="P41" s="85"/>
    </row>
    <row r="42" spans="1:16" hidden="1" x14ac:dyDescent="0.2">
      <c r="A42" s="85" t="s">
        <v>250</v>
      </c>
      <c r="B42" s="85" t="s">
        <v>234</v>
      </c>
      <c r="C42" s="85">
        <v>206</v>
      </c>
      <c r="D42" s="85">
        <v>450.7</v>
      </c>
      <c r="E42" s="85">
        <v>5.7</v>
      </c>
      <c r="F42" s="85">
        <v>0</v>
      </c>
      <c r="G42" s="85">
        <v>3.0000000000000001E-3</v>
      </c>
      <c r="H42" s="85" t="s">
        <v>357</v>
      </c>
      <c r="I42" s="85">
        <v>957.8</v>
      </c>
      <c r="J42" s="85">
        <v>453</v>
      </c>
      <c r="K42" s="85" t="s">
        <v>319</v>
      </c>
      <c r="L42" s="145">
        <v>0.24099999999999999</v>
      </c>
      <c r="M42" s="85">
        <v>-5.2400000000000007E-3</v>
      </c>
      <c r="N42" s="85">
        <f t="shared" si="1"/>
        <v>-7.1541161666039688E-3</v>
      </c>
      <c r="O42" s="85"/>
      <c r="P42" s="85"/>
    </row>
    <row r="43" spans="1:16" hidden="1" x14ac:dyDescent="0.2">
      <c r="A43" s="85" t="s">
        <v>251</v>
      </c>
      <c r="B43" s="85" t="s">
        <v>234</v>
      </c>
      <c r="C43" s="85">
        <v>206</v>
      </c>
      <c r="D43" s="85">
        <v>429.7</v>
      </c>
      <c r="E43" s="85">
        <v>3.2</v>
      </c>
      <c r="F43" s="85">
        <v>0</v>
      </c>
      <c r="G43" s="85">
        <v>1E-3</v>
      </c>
      <c r="H43" s="85" t="s">
        <v>357</v>
      </c>
      <c r="I43" s="85">
        <v>57.4</v>
      </c>
      <c r="J43" s="85">
        <v>453</v>
      </c>
      <c r="K43" s="85" t="s">
        <v>319</v>
      </c>
      <c r="L43" s="145">
        <v>0.24099999999999999</v>
      </c>
      <c r="M43" s="85">
        <v>0</v>
      </c>
      <c r="N43" s="85">
        <f t="shared" si="1"/>
        <v>-8.3020249027706966E-3</v>
      </c>
      <c r="O43" s="85"/>
      <c r="P43" s="85"/>
    </row>
    <row r="44" spans="1:16" hidden="1" x14ac:dyDescent="0.2">
      <c r="A44" s="85" t="s">
        <v>340</v>
      </c>
      <c r="B44" s="85" t="s">
        <v>234</v>
      </c>
      <c r="C44" s="85">
        <v>206</v>
      </c>
      <c r="D44" s="85">
        <v>441.7</v>
      </c>
      <c r="E44" s="85">
        <v>1.9</v>
      </c>
      <c r="F44" s="85"/>
      <c r="G44" s="85"/>
      <c r="H44" s="85" t="s">
        <v>357</v>
      </c>
      <c r="I44" s="85"/>
      <c r="J44" s="85"/>
      <c r="K44" s="85" t="s">
        <v>319</v>
      </c>
      <c r="L44" s="145">
        <v>0.24099999999999999</v>
      </c>
      <c r="M44" s="85">
        <v>0</v>
      </c>
      <c r="N44" s="85">
        <f t="shared" si="1"/>
        <v>-7.6460770535325667E-3</v>
      </c>
      <c r="O44" s="85"/>
      <c r="P44" s="85"/>
    </row>
    <row r="45" spans="1:16" hidden="1" x14ac:dyDescent="0.2">
      <c r="A45" s="85" t="s">
        <v>358</v>
      </c>
      <c r="B45" s="85" t="s">
        <v>234</v>
      </c>
      <c r="C45" s="85">
        <v>206</v>
      </c>
      <c r="D45" s="85">
        <v>23201.5</v>
      </c>
      <c r="E45" s="85">
        <v>0.5</v>
      </c>
      <c r="F45" s="85">
        <v>2.38</v>
      </c>
      <c r="G45" s="85">
        <v>1.0999999999999999E-2</v>
      </c>
      <c r="H45" s="85" t="s">
        <v>357</v>
      </c>
      <c r="I45" s="85">
        <v>0.5</v>
      </c>
      <c r="J45" s="85">
        <v>442</v>
      </c>
      <c r="K45" s="85" t="s">
        <v>319</v>
      </c>
      <c r="L45" s="145">
        <v>0.24099999999999999</v>
      </c>
      <c r="M45" s="85">
        <v>1.2576000000000001</v>
      </c>
      <c r="N45" s="85">
        <f>(D45-$P$46)/$P$45</f>
        <v>1.264805883145468</v>
      </c>
      <c r="O45" s="85" t="s">
        <v>425</v>
      </c>
      <c r="P45" s="85">
        <f>SLOPE(D45:D49,M45:M49)</f>
        <v>17946.882806643385</v>
      </c>
    </row>
    <row r="46" spans="1:16" hidden="1" x14ac:dyDescent="0.2">
      <c r="A46" s="85" t="s">
        <v>360</v>
      </c>
      <c r="B46" s="85" t="s">
        <v>234</v>
      </c>
      <c r="C46" s="85">
        <v>206</v>
      </c>
      <c r="D46" s="85">
        <v>46848.7</v>
      </c>
      <c r="E46" s="85">
        <v>1.4</v>
      </c>
      <c r="F46" s="85">
        <v>4.8600000000000003</v>
      </c>
      <c r="G46" s="85">
        <v>7.0999999999999994E-2</v>
      </c>
      <c r="H46" s="85" t="s">
        <v>357</v>
      </c>
      <c r="I46" s="85">
        <v>1.5</v>
      </c>
      <c r="J46" s="85">
        <v>442</v>
      </c>
      <c r="K46" s="85" t="s">
        <v>319</v>
      </c>
      <c r="L46" s="145">
        <v>0.24099999999999999</v>
      </c>
      <c r="M46" s="85">
        <v>2.5885600000000002</v>
      </c>
      <c r="N46" s="85">
        <f t="shared" ref="N46:N54" si="2">(D46-$P$46)/$P$45</f>
        <v>2.582427458701003</v>
      </c>
      <c r="O46" s="85" t="s">
        <v>426</v>
      </c>
      <c r="P46" s="85">
        <f>INTERCEPT(D45:D49,M45:M49)</f>
        <v>502.17704203519679</v>
      </c>
    </row>
    <row r="47" spans="1:16" hidden="1" x14ac:dyDescent="0.2">
      <c r="A47" s="85" t="s">
        <v>362</v>
      </c>
      <c r="B47" s="85" t="s">
        <v>234</v>
      </c>
      <c r="C47" s="85">
        <v>206</v>
      </c>
      <c r="D47" s="85">
        <v>70139.8</v>
      </c>
      <c r="E47" s="85">
        <v>0.7</v>
      </c>
      <c r="F47" s="85">
        <v>7.36</v>
      </c>
      <c r="G47" s="85">
        <v>4.9000000000000002E-2</v>
      </c>
      <c r="H47" s="85" t="s">
        <v>357</v>
      </c>
      <c r="I47" s="85">
        <v>0.7</v>
      </c>
      <c r="J47" s="85">
        <v>442</v>
      </c>
      <c r="K47" s="85" t="s">
        <v>319</v>
      </c>
      <c r="L47" s="145">
        <v>0.24099999999999999</v>
      </c>
      <c r="M47" s="85">
        <v>3.8671199999999999</v>
      </c>
      <c r="N47" s="85">
        <f t="shared" si="2"/>
        <v>3.8802071484072487</v>
      </c>
      <c r="O47" s="85" t="s">
        <v>427</v>
      </c>
      <c r="P47" s="85">
        <f>CORREL(D45:D49,M45:M49)</f>
        <v>0.99998919337383985</v>
      </c>
    </row>
    <row r="48" spans="1:16" hidden="1" x14ac:dyDescent="0.2">
      <c r="A48" s="85" t="s">
        <v>364</v>
      </c>
      <c r="B48" s="85" t="s">
        <v>234</v>
      </c>
      <c r="C48" s="85">
        <v>206</v>
      </c>
      <c r="D48" s="85">
        <v>93829.1</v>
      </c>
      <c r="E48" s="85">
        <v>0.6</v>
      </c>
      <c r="F48" s="85">
        <v>10.029999999999999</v>
      </c>
      <c r="G48" s="85">
        <v>5.6000000000000001E-2</v>
      </c>
      <c r="H48" s="85" t="s">
        <v>357</v>
      </c>
      <c r="I48" s="85">
        <v>0.6</v>
      </c>
      <c r="J48" s="85">
        <v>442</v>
      </c>
      <c r="K48" s="85" t="s">
        <v>319</v>
      </c>
      <c r="L48" s="145">
        <v>0.24099999999999999</v>
      </c>
      <c r="M48" s="85">
        <v>5.2085600000000003</v>
      </c>
      <c r="N48" s="85">
        <f t="shared" si="2"/>
        <v>5.2001745352356146</v>
      </c>
      <c r="O48" s="85"/>
      <c r="P48" s="85"/>
    </row>
    <row r="49" spans="1:16" hidden="1" x14ac:dyDescent="0.2">
      <c r="A49" s="85" t="s">
        <v>411</v>
      </c>
      <c r="B49" s="85" t="s">
        <v>234</v>
      </c>
      <c r="C49" s="85">
        <v>206</v>
      </c>
      <c r="D49" s="85">
        <v>774.7</v>
      </c>
      <c r="E49" s="85">
        <v>2.9</v>
      </c>
      <c r="F49" s="85">
        <v>0.04</v>
      </c>
      <c r="G49" s="85">
        <v>2E-3</v>
      </c>
      <c r="H49" s="85" t="s">
        <v>357</v>
      </c>
      <c r="I49" s="85">
        <v>6.6</v>
      </c>
      <c r="J49" s="85">
        <v>442</v>
      </c>
      <c r="K49" s="85" t="s">
        <v>319</v>
      </c>
      <c r="L49" s="145">
        <v>0.24099999999999999</v>
      </c>
      <c r="M49" s="85">
        <v>2.0960000000000003E-2</v>
      </c>
      <c r="N49" s="85">
        <f t="shared" si="2"/>
        <v>1.5184974510666756E-2</v>
      </c>
      <c r="O49" s="85"/>
      <c r="P49" s="85"/>
    </row>
    <row r="50" spans="1:16" hidden="1" x14ac:dyDescent="0.2">
      <c r="A50" s="85" t="s">
        <v>413</v>
      </c>
      <c r="B50" s="85" t="s">
        <v>234</v>
      </c>
      <c r="C50" s="85">
        <v>206</v>
      </c>
      <c r="D50" s="85">
        <v>2979.3</v>
      </c>
      <c r="E50" s="85">
        <v>5</v>
      </c>
      <c r="F50" s="85">
        <v>0.27</v>
      </c>
      <c r="G50" s="85">
        <v>1.6E-2</v>
      </c>
      <c r="H50" s="85" t="s">
        <v>357</v>
      </c>
      <c r="I50" s="85">
        <v>5.9</v>
      </c>
      <c r="J50" s="85">
        <v>442</v>
      </c>
      <c r="K50" s="85" t="s">
        <v>319</v>
      </c>
      <c r="L50" s="145">
        <v>0.24099999999999999</v>
      </c>
      <c r="M50" s="85">
        <v>0.16244</v>
      </c>
      <c r="N50" s="85">
        <f t="shared" si="2"/>
        <v>0.1380252484318808</v>
      </c>
      <c r="O50" s="85"/>
      <c r="P50" s="85"/>
    </row>
    <row r="51" spans="1:16" hidden="1" x14ac:dyDescent="0.2">
      <c r="A51" s="85" t="s">
        <v>415</v>
      </c>
      <c r="B51" s="85" t="s">
        <v>234</v>
      </c>
      <c r="C51" s="85">
        <v>206</v>
      </c>
      <c r="D51" s="85">
        <v>2010.8</v>
      </c>
      <c r="E51" s="85">
        <v>2.4</v>
      </c>
      <c r="F51" s="85">
        <v>0.17</v>
      </c>
      <c r="G51" s="85">
        <v>5.0000000000000001E-3</v>
      </c>
      <c r="H51" s="85" t="s">
        <v>357</v>
      </c>
      <c r="I51" s="85">
        <v>3</v>
      </c>
      <c r="J51" s="85">
        <v>442</v>
      </c>
      <c r="K51" s="85" t="s">
        <v>319</v>
      </c>
      <c r="L51" s="145">
        <v>0.24099999999999999</v>
      </c>
      <c r="M51" s="85">
        <v>9.956000000000001E-2</v>
      </c>
      <c r="N51" s="85">
        <f t="shared" si="2"/>
        <v>8.4060445160223443E-2</v>
      </c>
      <c r="O51" s="85"/>
      <c r="P51" s="85"/>
    </row>
    <row r="52" spans="1:16" hidden="1" x14ac:dyDescent="0.2">
      <c r="A52" s="85" t="s">
        <v>417</v>
      </c>
      <c r="B52" s="85" t="s">
        <v>234</v>
      </c>
      <c r="C52" s="85">
        <v>206</v>
      </c>
      <c r="D52" s="85">
        <v>5821.9</v>
      </c>
      <c r="E52" s="85">
        <v>1.3</v>
      </c>
      <c r="F52" s="85">
        <v>0.57999999999999996</v>
      </c>
      <c r="G52" s="85">
        <v>8.0000000000000002E-3</v>
      </c>
      <c r="H52" s="85" t="s">
        <v>357</v>
      </c>
      <c r="I52" s="85">
        <v>1.4</v>
      </c>
      <c r="J52" s="85">
        <v>442</v>
      </c>
      <c r="K52" s="85" t="s">
        <v>319</v>
      </c>
      <c r="L52" s="145">
        <v>0.24099999999999999</v>
      </c>
      <c r="M52" s="85">
        <v>0.34060000000000001</v>
      </c>
      <c r="N52" s="85">
        <f t="shared" si="2"/>
        <v>0.29641487133328831</v>
      </c>
      <c r="O52" s="85"/>
      <c r="P52" s="85"/>
    </row>
    <row r="53" spans="1:16" hidden="1" x14ac:dyDescent="0.2">
      <c r="A53" s="85" t="s">
        <v>419</v>
      </c>
      <c r="B53" s="85" t="s">
        <v>234</v>
      </c>
      <c r="C53" s="85">
        <v>206</v>
      </c>
      <c r="D53" s="85">
        <v>1237.0999999999999</v>
      </c>
      <c r="E53" s="85">
        <v>1.8</v>
      </c>
      <c r="F53" s="85">
        <v>0.09</v>
      </c>
      <c r="G53" s="85">
        <v>2E-3</v>
      </c>
      <c r="H53" s="85" t="s">
        <v>357</v>
      </c>
      <c r="I53" s="85">
        <v>2.8</v>
      </c>
      <c r="J53" s="85">
        <v>442</v>
      </c>
      <c r="K53" s="85" t="s">
        <v>319</v>
      </c>
      <c r="L53" s="145">
        <v>0.24099999999999999</v>
      </c>
      <c r="M53" s="85">
        <v>4.7160000000000001E-2</v>
      </c>
      <c r="N53" s="85">
        <f t="shared" si="2"/>
        <v>4.0949894523897891E-2</v>
      </c>
      <c r="O53" s="85"/>
      <c r="P53" s="85"/>
    </row>
    <row r="54" spans="1:16" hidden="1" x14ac:dyDescent="0.2">
      <c r="A54" s="85" t="s">
        <v>421</v>
      </c>
      <c r="B54" s="85" t="s">
        <v>234</v>
      </c>
      <c r="C54" s="85">
        <v>206</v>
      </c>
      <c r="D54" s="85">
        <v>1173.7</v>
      </c>
      <c r="E54" s="85">
        <v>3.2</v>
      </c>
      <c r="F54" s="85">
        <v>0.08</v>
      </c>
      <c r="G54" s="85">
        <v>4.0000000000000001E-3</v>
      </c>
      <c r="H54" s="85" t="s">
        <v>357</v>
      </c>
      <c r="I54" s="85">
        <v>5.0999999999999996</v>
      </c>
      <c r="J54" s="85">
        <v>442</v>
      </c>
      <c r="K54" s="85" t="s">
        <v>319</v>
      </c>
      <c r="L54" s="145">
        <v>0.24099999999999999</v>
      </c>
      <c r="M54" s="85">
        <v>4.7160000000000001E-2</v>
      </c>
      <c r="N54" s="85">
        <f t="shared" si="2"/>
        <v>3.7417247618969578E-2</v>
      </c>
      <c r="O54" s="85"/>
      <c r="P54" s="85"/>
    </row>
  </sheetData>
  <autoFilter ref="A1:P54">
    <filterColumn colId="0">
      <filters>
        <filter val="TDM1"/>
        <filter val="TDM10"/>
        <filter val="TDM11"/>
        <filter val="TDM2"/>
        <filter val="TDM3"/>
        <filter val="TDM4"/>
        <filter val="TDM5"/>
        <filter val="TDM6"/>
        <filter val="TDM7"/>
        <filter val="TDM8"/>
        <filter val="TDM9"/>
      </filters>
    </filterColumn>
  </autoFilter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P54"/>
  <sheetViews>
    <sheetView workbookViewId="0">
      <selection activeCell="N25" sqref="N25:N36"/>
    </sheetView>
  </sheetViews>
  <sheetFormatPr defaultColWidth="11.42578125" defaultRowHeight="12.75" x14ac:dyDescent="0.2"/>
  <cols>
    <col min="13" max="13" width="20.28515625" bestFit="1" customWidth="1"/>
    <col min="14" max="14" width="21" bestFit="1" customWidth="1"/>
  </cols>
  <sheetData>
    <row r="1" spans="1:16" x14ac:dyDescent="0.2">
      <c r="A1" s="85" t="s">
        <v>71</v>
      </c>
      <c r="B1" s="85" t="s">
        <v>428</v>
      </c>
      <c r="C1" s="85" t="s">
        <v>349</v>
      </c>
      <c r="D1" s="85" t="s">
        <v>350</v>
      </c>
      <c r="E1" s="85" t="s">
        <v>351</v>
      </c>
      <c r="F1" s="85" t="s">
        <v>352</v>
      </c>
      <c r="G1" s="85" t="s">
        <v>353</v>
      </c>
      <c r="H1" s="85" t="s">
        <v>314</v>
      </c>
      <c r="I1" s="85" t="s">
        <v>351</v>
      </c>
      <c r="J1" s="85" t="s">
        <v>354</v>
      </c>
      <c r="K1" s="85" t="s">
        <v>355</v>
      </c>
      <c r="L1" s="85" t="s">
        <v>429</v>
      </c>
      <c r="M1" s="85" t="s">
        <v>430</v>
      </c>
      <c r="N1" s="85" t="s">
        <v>431</v>
      </c>
      <c r="O1" s="85"/>
      <c r="P1" s="85"/>
    </row>
    <row r="2" spans="1:16" hidden="1" x14ac:dyDescent="0.2">
      <c r="A2" s="85" t="s">
        <v>340</v>
      </c>
      <c r="B2" t="s">
        <v>234</v>
      </c>
      <c r="C2">
        <v>207</v>
      </c>
      <c r="D2">
        <v>377.3</v>
      </c>
      <c r="E2">
        <v>9.6999999999999993</v>
      </c>
      <c r="F2">
        <v>0</v>
      </c>
      <c r="H2" t="s">
        <v>357</v>
      </c>
      <c r="K2" t="s">
        <v>319</v>
      </c>
      <c r="L2" s="146">
        <v>0.221</v>
      </c>
      <c r="M2" s="85">
        <v>0</v>
      </c>
      <c r="N2" s="85">
        <f>(D2-$P$3)/$P$2</f>
        <v>1.1653539614554502E-2</v>
      </c>
      <c r="O2" s="85" t="s">
        <v>425</v>
      </c>
      <c r="P2" s="85">
        <f>SLOPE(D2:D6,M2:M6)</f>
        <v>14056.537081668084</v>
      </c>
    </row>
    <row r="3" spans="1:16" hidden="1" x14ac:dyDescent="0.2">
      <c r="A3" s="85" t="s">
        <v>358</v>
      </c>
      <c r="B3" t="s">
        <v>234</v>
      </c>
      <c r="C3">
        <v>207</v>
      </c>
      <c r="D3">
        <v>18668.900000000001</v>
      </c>
      <c r="E3">
        <v>1.8</v>
      </c>
      <c r="F3">
        <v>2.5</v>
      </c>
      <c r="G3">
        <v>4.4999999999999998E-2</v>
      </c>
      <c r="H3" t="s">
        <v>357</v>
      </c>
      <c r="I3">
        <v>1.8</v>
      </c>
      <c r="J3">
        <v>377</v>
      </c>
      <c r="K3" t="s">
        <v>319</v>
      </c>
      <c r="L3" s="146">
        <v>0.221</v>
      </c>
      <c r="M3" s="85">
        <v>1.31</v>
      </c>
      <c r="N3" s="85">
        <f t="shared" ref="N3:N19" si="0">(D3-$P$3)/$P$2</f>
        <v>1.3129413243460515</v>
      </c>
      <c r="O3" s="85" t="s">
        <v>426</v>
      </c>
      <c r="P3" s="85">
        <f>INTERCEPT(D2:D6,M2:M6)</f>
        <v>213.49158827532665</v>
      </c>
    </row>
    <row r="4" spans="1:16" hidden="1" x14ac:dyDescent="0.2">
      <c r="A4" s="85" t="s">
        <v>360</v>
      </c>
      <c r="B4" t="s">
        <v>234</v>
      </c>
      <c r="C4">
        <v>207</v>
      </c>
      <c r="D4">
        <v>36751.599999999999</v>
      </c>
      <c r="E4">
        <v>2</v>
      </c>
      <c r="F4">
        <v>4.99</v>
      </c>
      <c r="G4">
        <v>9.9000000000000005E-2</v>
      </c>
      <c r="H4" t="s">
        <v>357</v>
      </c>
      <c r="I4">
        <v>2</v>
      </c>
      <c r="J4">
        <v>377</v>
      </c>
      <c r="K4" t="s">
        <v>319</v>
      </c>
      <c r="L4" s="146">
        <v>0.221</v>
      </c>
      <c r="M4" s="85">
        <v>2.6304799999999999</v>
      </c>
      <c r="N4" s="85">
        <f t="shared" si="0"/>
        <v>2.5993676962853147</v>
      </c>
      <c r="O4" s="85" t="s">
        <v>427</v>
      </c>
      <c r="P4" s="85">
        <f>CORREL(D2:D6,M2:M6)</f>
        <v>0.99996393120086635</v>
      </c>
    </row>
    <row r="5" spans="1:16" hidden="1" x14ac:dyDescent="0.2">
      <c r="A5" s="85" t="s">
        <v>362</v>
      </c>
      <c r="B5" t="s">
        <v>234</v>
      </c>
      <c r="C5">
        <v>207</v>
      </c>
      <c r="D5">
        <v>55477.9</v>
      </c>
      <c r="E5">
        <v>1.1000000000000001</v>
      </c>
      <c r="F5">
        <v>7.52</v>
      </c>
      <c r="G5">
        <v>8.2000000000000003E-2</v>
      </c>
      <c r="H5" t="s">
        <v>357</v>
      </c>
      <c r="I5">
        <v>1.1000000000000001</v>
      </c>
      <c r="J5">
        <v>377</v>
      </c>
      <c r="K5" t="s">
        <v>319</v>
      </c>
      <c r="L5" s="146">
        <v>0.221</v>
      </c>
      <c r="M5" s="85">
        <v>3.9247600000000005</v>
      </c>
      <c r="N5" s="85">
        <f t="shared" si="0"/>
        <v>3.9315805941847568</v>
      </c>
      <c r="O5" s="85"/>
      <c r="P5" s="85"/>
    </row>
    <row r="6" spans="1:16" hidden="1" x14ac:dyDescent="0.2">
      <c r="A6" s="85" t="s">
        <v>364</v>
      </c>
      <c r="B6" t="s">
        <v>234</v>
      </c>
      <c r="C6">
        <v>207</v>
      </c>
      <c r="D6">
        <v>74595.3</v>
      </c>
      <c r="E6">
        <v>0.4</v>
      </c>
      <c r="F6">
        <v>10.06</v>
      </c>
      <c r="G6">
        <v>3.5999999999999997E-2</v>
      </c>
      <c r="H6" t="s">
        <v>357</v>
      </c>
      <c r="I6">
        <v>0.4</v>
      </c>
      <c r="J6">
        <v>377</v>
      </c>
      <c r="K6" t="s">
        <v>319</v>
      </c>
      <c r="L6" s="146">
        <v>0.221</v>
      </c>
      <c r="M6" s="85">
        <v>5.2819200000000004</v>
      </c>
      <c r="N6" s="85">
        <f t="shared" si="0"/>
        <v>5.2916168455693224</v>
      </c>
      <c r="O6" s="85"/>
      <c r="P6" s="85"/>
    </row>
    <row r="7" spans="1:16" hidden="1" x14ac:dyDescent="0.2">
      <c r="A7" s="85" t="s">
        <v>213</v>
      </c>
      <c r="B7" t="s">
        <v>234</v>
      </c>
      <c r="C7">
        <v>207</v>
      </c>
      <c r="D7">
        <v>3076.7</v>
      </c>
      <c r="E7">
        <v>2.2999999999999998</v>
      </c>
      <c r="F7">
        <v>0.37</v>
      </c>
      <c r="G7">
        <v>0.01</v>
      </c>
      <c r="H7" t="s">
        <v>357</v>
      </c>
      <c r="I7">
        <v>2.7</v>
      </c>
      <c r="J7">
        <v>377</v>
      </c>
      <c r="K7" t="s">
        <v>319</v>
      </c>
      <c r="L7" s="146">
        <v>0.221</v>
      </c>
      <c r="M7" s="85">
        <v>0.18864</v>
      </c>
      <c r="N7" s="85">
        <f t="shared" si="0"/>
        <v>0.20369230309638234</v>
      </c>
      <c r="O7" s="85"/>
      <c r="P7" s="85"/>
    </row>
    <row r="8" spans="1:16" hidden="1" x14ac:dyDescent="0.2">
      <c r="A8" s="85" t="s">
        <v>214</v>
      </c>
      <c r="B8" t="s">
        <v>234</v>
      </c>
      <c r="C8">
        <v>207</v>
      </c>
      <c r="D8">
        <v>2336.5</v>
      </c>
      <c r="E8">
        <v>0.8</v>
      </c>
      <c r="F8">
        <v>0.27</v>
      </c>
      <c r="G8">
        <v>2E-3</v>
      </c>
      <c r="H8" t="s">
        <v>357</v>
      </c>
      <c r="I8">
        <v>0.9</v>
      </c>
      <c r="J8">
        <v>377</v>
      </c>
      <c r="K8" t="s">
        <v>319</v>
      </c>
      <c r="L8" s="146">
        <v>0.221</v>
      </c>
      <c r="M8" s="85">
        <v>0.14148000000000002</v>
      </c>
      <c r="N8" s="85">
        <f t="shared" si="0"/>
        <v>0.15103352976554996</v>
      </c>
      <c r="O8" s="85"/>
      <c r="P8" s="85"/>
    </row>
    <row r="9" spans="1:16" hidden="1" x14ac:dyDescent="0.2">
      <c r="A9" s="85" t="s">
        <v>215</v>
      </c>
      <c r="B9" t="s">
        <v>234</v>
      </c>
      <c r="C9">
        <v>207</v>
      </c>
      <c r="D9">
        <v>13746.9</v>
      </c>
      <c r="E9">
        <v>1</v>
      </c>
      <c r="F9">
        <v>1.81</v>
      </c>
      <c r="G9">
        <v>1.9E-2</v>
      </c>
      <c r="H9" t="s">
        <v>357</v>
      </c>
      <c r="I9">
        <v>1</v>
      </c>
      <c r="J9">
        <v>377</v>
      </c>
      <c r="K9" t="s">
        <v>319</v>
      </c>
      <c r="L9" s="146">
        <v>0.221</v>
      </c>
      <c r="M9" s="85">
        <v>0.9327200000000001</v>
      </c>
      <c r="N9" s="85">
        <f t="shared" si="0"/>
        <v>0.96278395831746832</v>
      </c>
      <c r="O9" s="85"/>
      <c r="P9" s="85"/>
    </row>
    <row r="10" spans="1:16" hidden="1" x14ac:dyDescent="0.2">
      <c r="A10" s="85" t="s">
        <v>216</v>
      </c>
      <c r="B10" t="s">
        <v>234</v>
      </c>
      <c r="C10">
        <v>207</v>
      </c>
      <c r="D10">
        <v>1927.1</v>
      </c>
      <c r="E10">
        <v>2.9</v>
      </c>
      <c r="F10">
        <v>0.21</v>
      </c>
      <c r="G10">
        <v>7.0000000000000001E-3</v>
      </c>
      <c r="H10" t="s">
        <v>357</v>
      </c>
      <c r="I10">
        <v>3.6</v>
      </c>
      <c r="J10">
        <v>377</v>
      </c>
      <c r="K10" t="s">
        <v>319</v>
      </c>
      <c r="L10" s="146">
        <v>0.221</v>
      </c>
      <c r="M10" s="85">
        <v>0.11004</v>
      </c>
      <c r="N10" s="85">
        <f t="shared" si="0"/>
        <v>0.12190829090896689</v>
      </c>
      <c r="O10" s="85"/>
      <c r="P10" s="85"/>
    </row>
    <row r="11" spans="1:16" hidden="1" x14ac:dyDescent="0.2">
      <c r="A11" s="85" t="s">
        <v>217</v>
      </c>
      <c r="B11" t="s">
        <v>234</v>
      </c>
      <c r="C11">
        <v>207</v>
      </c>
      <c r="D11">
        <v>1795.8</v>
      </c>
      <c r="E11">
        <v>0.2</v>
      </c>
      <c r="F11">
        <v>0.19</v>
      </c>
      <c r="G11">
        <v>0</v>
      </c>
      <c r="H11" t="s">
        <v>357</v>
      </c>
      <c r="I11">
        <v>0.2</v>
      </c>
      <c r="J11">
        <v>377</v>
      </c>
      <c r="K11" t="s">
        <v>319</v>
      </c>
      <c r="L11" s="146">
        <v>0.221</v>
      </c>
      <c r="M11" s="85">
        <v>9.956000000000001E-2</v>
      </c>
      <c r="N11" s="85">
        <f t="shared" si="0"/>
        <v>0.11256744122193867</v>
      </c>
      <c r="O11" s="85"/>
      <c r="P11" s="85"/>
    </row>
    <row r="12" spans="1:16" hidden="1" x14ac:dyDescent="0.2">
      <c r="A12" s="85" t="s">
        <v>371</v>
      </c>
      <c r="B12" t="s">
        <v>234</v>
      </c>
      <c r="C12">
        <v>207</v>
      </c>
      <c r="D12">
        <v>58561.5</v>
      </c>
      <c r="E12">
        <v>0.9</v>
      </c>
      <c r="F12">
        <v>7.89</v>
      </c>
      <c r="G12">
        <v>7.4999999999999997E-2</v>
      </c>
      <c r="H12" t="s">
        <v>357</v>
      </c>
      <c r="I12">
        <v>1</v>
      </c>
      <c r="J12">
        <v>377</v>
      </c>
      <c r="K12" t="s">
        <v>319</v>
      </c>
      <c r="L12" s="146">
        <v>0.221</v>
      </c>
      <c r="M12" s="85">
        <v>4.1396000000000006</v>
      </c>
      <c r="N12" s="85">
        <f t="shared" si="0"/>
        <v>4.1509518363395186</v>
      </c>
      <c r="O12" s="85"/>
      <c r="P12" s="85"/>
    </row>
    <row r="13" spans="1:16" hidden="1" x14ac:dyDescent="0.2">
      <c r="A13" s="85" t="s">
        <v>218</v>
      </c>
      <c r="B13" t="s">
        <v>234</v>
      </c>
      <c r="C13">
        <v>207</v>
      </c>
      <c r="D13">
        <v>1159.4000000000001</v>
      </c>
      <c r="E13">
        <v>2.8</v>
      </c>
      <c r="F13">
        <v>0.11</v>
      </c>
      <c r="G13">
        <v>4.0000000000000001E-3</v>
      </c>
      <c r="H13" t="s">
        <v>357</v>
      </c>
      <c r="I13">
        <v>4.2</v>
      </c>
      <c r="J13">
        <v>377</v>
      </c>
      <c r="K13" t="s">
        <v>319</v>
      </c>
      <c r="L13" s="146">
        <v>0.221</v>
      </c>
      <c r="M13" s="85">
        <v>5.2400000000000002E-2</v>
      </c>
      <c r="N13" s="85">
        <f t="shared" si="0"/>
        <v>6.7293132457088983E-2</v>
      </c>
      <c r="O13" s="85"/>
      <c r="P13" s="85"/>
    </row>
    <row r="14" spans="1:16" hidden="1" x14ac:dyDescent="0.2">
      <c r="A14" s="85" t="s">
        <v>219</v>
      </c>
      <c r="B14" t="s">
        <v>234</v>
      </c>
      <c r="C14">
        <v>207</v>
      </c>
      <c r="D14">
        <v>2335.5</v>
      </c>
      <c r="E14">
        <v>2.4</v>
      </c>
      <c r="F14">
        <v>0.27</v>
      </c>
      <c r="G14">
        <v>8.0000000000000002E-3</v>
      </c>
      <c r="H14" t="s">
        <v>357</v>
      </c>
      <c r="I14">
        <v>2.9</v>
      </c>
      <c r="J14">
        <v>377</v>
      </c>
      <c r="K14" t="s">
        <v>319</v>
      </c>
      <c r="L14" s="146">
        <v>0.221</v>
      </c>
      <c r="M14" s="85">
        <v>0.13624</v>
      </c>
      <c r="N14" s="85">
        <f t="shared" si="0"/>
        <v>0.15096238848842103</v>
      </c>
      <c r="O14" s="85"/>
      <c r="P14" s="85"/>
    </row>
    <row r="15" spans="1:16" hidden="1" x14ac:dyDescent="0.2">
      <c r="A15" s="85" t="s">
        <v>220</v>
      </c>
      <c r="B15" t="s">
        <v>234</v>
      </c>
      <c r="C15">
        <v>207</v>
      </c>
      <c r="D15">
        <v>3441.4</v>
      </c>
      <c r="E15">
        <v>0.8</v>
      </c>
      <c r="F15">
        <v>0.42</v>
      </c>
      <c r="G15">
        <v>4.0000000000000001E-3</v>
      </c>
      <c r="H15" t="s">
        <v>357</v>
      </c>
      <c r="I15">
        <v>0.9</v>
      </c>
      <c r="J15">
        <v>377</v>
      </c>
      <c r="K15" t="s">
        <v>319</v>
      </c>
      <c r="L15" s="146">
        <v>0.221</v>
      </c>
      <c r="M15" s="85">
        <v>0.20960000000000001</v>
      </c>
      <c r="N15" s="85">
        <f t="shared" si="0"/>
        <v>0.22963752686530237</v>
      </c>
      <c r="O15" s="85"/>
      <c r="P15" s="85"/>
    </row>
    <row r="16" spans="1:16" hidden="1" x14ac:dyDescent="0.2">
      <c r="A16" s="85" t="s">
        <v>221</v>
      </c>
      <c r="B16" t="s">
        <v>234</v>
      </c>
      <c r="C16">
        <v>207</v>
      </c>
      <c r="D16">
        <v>926.7</v>
      </c>
      <c r="E16">
        <v>1.5</v>
      </c>
      <c r="F16">
        <v>7.0000000000000007E-2</v>
      </c>
      <c r="G16">
        <v>2E-3</v>
      </c>
      <c r="H16" t="s">
        <v>357</v>
      </c>
      <c r="I16">
        <v>2.5</v>
      </c>
      <c r="J16">
        <v>377</v>
      </c>
      <c r="K16" t="s">
        <v>319</v>
      </c>
      <c r="L16" s="146">
        <v>0.221</v>
      </c>
      <c r="M16" s="85">
        <v>3.6680000000000004E-2</v>
      </c>
      <c r="N16" s="85">
        <f t="shared" si="0"/>
        <v>5.0738557269187468E-2</v>
      </c>
      <c r="O16" s="85"/>
      <c r="P16" s="85"/>
    </row>
    <row r="17" spans="1:16" hidden="1" x14ac:dyDescent="0.2">
      <c r="A17" s="85" t="s">
        <v>222</v>
      </c>
      <c r="B17" t="s">
        <v>234</v>
      </c>
      <c r="C17">
        <v>207</v>
      </c>
      <c r="D17">
        <v>2154.1999999999998</v>
      </c>
      <c r="E17">
        <v>0.3</v>
      </c>
      <c r="F17">
        <v>0.24</v>
      </c>
      <c r="G17">
        <v>1E-3</v>
      </c>
      <c r="H17" t="s">
        <v>357</v>
      </c>
      <c r="I17">
        <v>0.4</v>
      </c>
      <c r="J17">
        <v>377</v>
      </c>
      <c r="K17" t="s">
        <v>319</v>
      </c>
      <c r="L17" s="146">
        <v>0.221</v>
      </c>
      <c r="M17" s="85">
        <v>0.12052000000000002</v>
      </c>
      <c r="N17" s="85">
        <f t="shared" si="0"/>
        <v>0.13806447494494639</v>
      </c>
      <c r="O17" s="85"/>
      <c r="P17" s="85"/>
    </row>
    <row r="18" spans="1:16" hidden="1" x14ac:dyDescent="0.2">
      <c r="A18" s="85" t="s">
        <v>223</v>
      </c>
      <c r="B18" t="s">
        <v>234</v>
      </c>
      <c r="C18">
        <v>207</v>
      </c>
      <c r="D18">
        <v>993.7</v>
      </c>
      <c r="E18">
        <v>1.2</v>
      </c>
      <c r="F18">
        <v>0.08</v>
      </c>
      <c r="G18">
        <v>2E-3</v>
      </c>
      <c r="H18" t="s">
        <v>357</v>
      </c>
      <c r="I18">
        <v>2</v>
      </c>
      <c r="J18">
        <v>377</v>
      </c>
      <c r="K18" t="s">
        <v>319</v>
      </c>
      <c r="L18" s="146">
        <v>0.221</v>
      </c>
      <c r="M18" s="85">
        <v>4.1920000000000006E-2</v>
      </c>
      <c r="N18" s="85">
        <f t="shared" si="0"/>
        <v>5.5505022836825638E-2</v>
      </c>
      <c r="O18" s="85"/>
      <c r="P18" s="85"/>
    </row>
    <row r="19" spans="1:16" hidden="1" x14ac:dyDescent="0.2">
      <c r="A19" s="85" t="s">
        <v>379</v>
      </c>
      <c r="B19" t="s">
        <v>234</v>
      </c>
      <c r="C19">
        <v>207</v>
      </c>
      <c r="D19">
        <v>56929.9</v>
      </c>
      <c r="E19">
        <v>0.6</v>
      </c>
      <c r="F19">
        <v>7.67</v>
      </c>
      <c r="G19">
        <v>4.7E-2</v>
      </c>
      <c r="H19" t="s">
        <v>357</v>
      </c>
      <c r="I19">
        <v>0.6</v>
      </c>
      <c r="J19">
        <v>377</v>
      </c>
      <c r="K19" t="s">
        <v>319</v>
      </c>
      <c r="L19" s="146">
        <v>0.221</v>
      </c>
      <c r="M19" s="85">
        <v>3.9928800000000004</v>
      </c>
      <c r="N19" s="85">
        <f t="shared" si="0"/>
        <v>4.0348777285759603</v>
      </c>
      <c r="O19" s="85"/>
      <c r="P19" s="85"/>
    </row>
    <row r="20" spans="1:16" hidden="1" x14ac:dyDescent="0.2">
      <c r="A20" s="85" t="s">
        <v>340</v>
      </c>
      <c r="B20" t="s">
        <v>234</v>
      </c>
      <c r="C20">
        <v>207</v>
      </c>
      <c r="D20">
        <v>396.7</v>
      </c>
      <c r="E20">
        <v>3.2</v>
      </c>
      <c r="H20" t="s">
        <v>357</v>
      </c>
      <c r="K20" t="s">
        <v>319</v>
      </c>
      <c r="L20" s="146">
        <v>0.221</v>
      </c>
      <c r="M20" s="85">
        <v>0</v>
      </c>
      <c r="N20" s="85">
        <f>(D20-$P$21)/$P$20</f>
        <v>-1.1004978452238747E-2</v>
      </c>
      <c r="O20" s="85" t="s">
        <v>425</v>
      </c>
      <c r="P20" s="85">
        <f>SLOPE(D20:D24,M20:M24)</f>
        <v>14001.901266599185</v>
      </c>
    </row>
    <row r="21" spans="1:16" hidden="1" x14ac:dyDescent="0.2">
      <c r="A21" s="85" t="s">
        <v>358</v>
      </c>
      <c r="B21" t="s">
        <v>234</v>
      </c>
      <c r="C21">
        <v>207</v>
      </c>
      <c r="D21">
        <v>18561.7</v>
      </c>
      <c r="E21">
        <v>0.7</v>
      </c>
      <c r="F21">
        <v>2.46</v>
      </c>
      <c r="G21">
        <v>1.9E-2</v>
      </c>
      <c r="H21" t="s">
        <v>357</v>
      </c>
      <c r="I21">
        <v>0.8</v>
      </c>
      <c r="J21">
        <v>397</v>
      </c>
      <c r="K21" t="s">
        <v>319</v>
      </c>
      <c r="L21" s="146">
        <v>0.221</v>
      </c>
      <c r="M21" s="85">
        <v>1.2942800000000001</v>
      </c>
      <c r="N21" s="85">
        <f t="shared" ref="N21:N44" si="1">(D21-$P$21)/$P$20</f>
        <v>1.2863188388018989</v>
      </c>
      <c r="O21" s="85" t="s">
        <v>426</v>
      </c>
      <c r="P21" s="85">
        <f>INTERCEPT(D20:D24,M20:M24)</f>
        <v>550.79062172929844</v>
      </c>
    </row>
    <row r="22" spans="1:16" hidden="1" x14ac:dyDescent="0.2">
      <c r="A22" s="85" t="s">
        <v>360</v>
      </c>
      <c r="B22" t="s">
        <v>234</v>
      </c>
      <c r="C22">
        <v>207</v>
      </c>
      <c r="D22">
        <v>37135.199999999997</v>
      </c>
      <c r="E22">
        <v>0.9</v>
      </c>
      <c r="F22">
        <v>4.9800000000000004</v>
      </c>
      <c r="G22">
        <v>4.4999999999999998E-2</v>
      </c>
      <c r="H22" t="s">
        <v>357</v>
      </c>
      <c r="I22">
        <v>0.9</v>
      </c>
      <c r="J22">
        <v>397</v>
      </c>
      <c r="K22" t="s">
        <v>319</v>
      </c>
      <c r="L22" s="146">
        <v>0.221</v>
      </c>
      <c r="M22" s="85">
        <v>2.5938000000000003</v>
      </c>
      <c r="N22" s="85">
        <f t="shared" si="1"/>
        <v>2.6128172654338684</v>
      </c>
      <c r="O22" s="85" t="s">
        <v>427</v>
      </c>
      <c r="P22" s="85">
        <f>CORREL(D20:D24,M20:M24)</f>
        <v>0.99993726794139837</v>
      </c>
    </row>
    <row r="23" spans="1:16" hidden="1" x14ac:dyDescent="0.2">
      <c r="A23" s="85" t="s">
        <v>362</v>
      </c>
      <c r="B23" t="s">
        <v>234</v>
      </c>
      <c r="C23">
        <v>207</v>
      </c>
      <c r="D23">
        <v>55609.7</v>
      </c>
      <c r="E23">
        <v>0.4</v>
      </c>
      <c r="F23">
        <v>7.47</v>
      </c>
      <c r="G23">
        <v>0.03</v>
      </c>
      <c r="H23" t="s">
        <v>357</v>
      </c>
      <c r="I23">
        <v>0.4</v>
      </c>
      <c r="J23">
        <v>397</v>
      </c>
      <c r="K23" t="s">
        <v>319</v>
      </c>
      <c r="L23" s="146">
        <v>0.221</v>
      </c>
      <c r="M23" s="85">
        <v>3.9038000000000004</v>
      </c>
      <c r="N23" s="85">
        <f t="shared" si="1"/>
        <v>3.9322452236976484</v>
      </c>
      <c r="O23" s="85"/>
      <c r="P23" s="85"/>
    </row>
    <row r="24" spans="1:16" hidden="1" x14ac:dyDescent="0.2">
      <c r="A24" s="85" t="s">
        <v>364</v>
      </c>
      <c r="B24" t="s">
        <v>234</v>
      </c>
      <c r="C24">
        <v>207</v>
      </c>
      <c r="D24">
        <v>73888.600000000006</v>
      </c>
      <c r="E24">
        <v>0.9</v>
      </c>
      <c r="F24">
        <v>10</v>
      </c>
      <c r="G24">
        <v>9.5000000000000001E-2</v>
      </c>
      <c r="H24" t="s">
        <v>357</v>
      </c>
      <c r="I24">
        <v>0.9</v>
      </c>
      <c r="J24">
        <v>397</v>
      </c>
      <c r="K24" t="s">
        <v>319</v>
      </c>
      <c r="L24" s="146">
        <v>0.221</v>
      </c>
      <c r="M24" s="85">
        <v>5.2662000000000004</v>
      </c>
      <c r="N24" s="85">
        <f t="shared" si="1"/>
        <v>5.2377036505188244</v>
      </c>
      <c r="O24" s="85"/>
      <c r="P24" s="85"/>
    </row>
    <row r="25" spans="1:16" x14ac:dyDescent="0.2">
      <c r="A25" s="85" t="s">
        <v>235</v>
      </c>
      <c r="B25" t="s">
        <v>234</v>
      </c>
      <c r="C25">
        <v>207</v>
      </c>
      <c r="D25">
        <v>1494.4</v>
      </c>
      <c r="E25">
        <v>2</v>
      </c>
      <c r="F25">
        <v>0.15</v>
      </c>
      <c r="G25">
        <v>4.0000000000000001E-3</v>
      </c>
      <c r="H25" t="s">
        <v>357</v>
      </c>
      <c r="I25">
        <v>2.7</v>
      </c>
      <c r="J25">
        <v>397</v>
      </c>
      <c r="K25" t="s">
        <v>319</v>
      </c>
      <c r="L25" s="146">
        <v>0.221</v>
      </c>
      <c r="M25" s="85">
        <v>7.3360000000000009E-2</v>
      </c>
      <c r="N25" s="85">
        <f t="shared" si="1"/>
        <v>6.7391517787775954E-2</v>
      </c>
      <c r="O25" s="85"/>
      <c r="P25" s="85"/>
    </row>
    <row r="26" spans="1:16" x14ac:dyDescent="0.2">
      <c r="A26" s="85" t="s">
        <v>236</v>
      </c>
      <c r="B26" t="s">
        <v>234</v>
      </c>
      <c r="C26">
        <v>207</v>
      </c>
      <c r="D26">
        <v>1236.7</v>
      </c>
      <c r="E26">
        <v>3.3</v>
      </c>
      <c r="F26">
        <v>0.11</v>
      </c>
      <c r="G26">
        <v>6.0000000000000001E-3</v>
      </c>
      <c r="H26" t="s">
        <v>357</v>
      </c>
      <c r="I26">
        <v>4.8</v>
      </c>
      <c r="J26">
        <v>397</v>
      </c>
      <c r="K26" t="s">
        <v>319</v>
      </c>
      <c r="L26" s="146">
        <v>0.221</v>
      </c>
      <c r="M26" s="85">
        <v>5.7640000000000004E-2</v>
      </c>
      <c r="N26" s="85">
        <f t="shared" si="1"/>
        <v>4.8986874368761847E-2</v>
      </c>
      <c r="O26" s="85"/>
      <c r="P26" s="85"/>
    </row>
    <row r="27" spans="1:16" x14ac:dyDescent="0.2">
      <c r="A27" s="85" t="s">
        <v>237</v>
      </c>
      <c r="B27" t="s">
        <v>234</v>
      </c>
      <c r="C27">
        <v>207</v>
      </c>
      <c r="D27">
        <v>2296.9</v>
      </c>
      <c r="E27">
        <v>2</v>
      </c>
      <c r="F27">
        <v>0.26</v>
      </c>
      <c r="G27">
        <v>6.0000000000000001E-3</v>
      </c>
      <c r="H27" t="s">
        <v>357</v>
      </c>
      <c r="I27">
        <v>2.4</v>
      </c>
      <c r="J27">
        <v>397</v>
      </c>
      <c r="K27" t="s">
        <v>319</v>
      </c>
      <c r="L27" s="146">
        <v>0.221</v>
      </c>
      <c r="M27" s="85">
        <v>0.13100000000000001</v>
      </c>
      <c r="N27" s="85">
        <f t="shared" si="1"/>
        <v>0.1247051628935533</v>
      </c>
      <c r="O27" s="85"/>
      <c r="P27" s="85"/>
    </row>
    <row r="28" spans="1:16" x14ac:dyDescent="0.2">
      <c r="A28" s="85" t="s">
        <v>238</v>
      </c>
      <c r="B28" t="s">
        <v>234</v>
      </c>
      <c r="C28">
        <v>207</v>
      </c>
      <c r="D28">
        <v>2681.9</v>
      </c>
      <c r="E28">
        <v>2.6</v>
      </c>
      <c r="F28">
        <v>0.31</v>
      </c>
      <c r="G28">
        <v>8.9999999999999993E-3</v>
      </c>
      <c r="H28" t="s">
        <v>357</v>
      </c>
      <c r="I28">
        <v>3</v>
      </c>
      <c r="J28">
        <v>397</v>
      </c>
      <c r="K28" t="s">
        <v>319</v>
      </c>
      <c r="L28" s="146">
        <v>0.221</v>
      </c>
      <c r="M28" s="85">
        <v>0.15195999999999998</v>
      </c>
      <c r="N28" s="85">
        <f t="shared" si="1"/>
        <v>0.15220142876984524</v>
      </c>
      <c r="O28" s="85"/>
      <c r="P28" s="85"/>
    </row>
    <row r="29" spans="1:16" x14ac:dyDescent="0.2">
      <c r="A29" s="85" t="s">
        <v>239</v>
      </c>
      <c r="B29" t="s">
        <v>234</v>
      </c>
      <c r="C29">
        <v>207</v>
      </c>
      <c r="D29">
        <v>540.70000000000005</v>
      </c>
      <c r="E29">
        <v>8.9</v>
      </c>
      <c r="F29">
        <v>0.02</v>
      </c>
      <c r="G29">
        <v>7.0000000000000001E-3</v>
      </c>
      <c r="H29" t="s">
        <v>357</v>
      </c>
      <c r="I29">
        <v>33.299999999999997</v>
      </c>
      <c r="J29">
        <v>397</v>
      </c>
      <c r="K29" t="s">
        <v>319</v>
      </c>
      <c r="L29" s="146">
        <v>0.221</v>
      </c>
      <c r="M29" s="85">
        <v>5.2400000000000007E-3</v>
      </c>
      <c r="N29" s="85">
        <f t="shared" si="1"/>
        <v>-7.2066082578149942E-4</v>
      </c>
      <c r="O29" s="85"/>
      <c r="P29" s="85"/>
    </row>
    <row r="30" spans="1:16" hidden="1" x14ac:dyDescent="0.2">
      <c r="A30" s="85" t="s">
        <v>391</v>
      </c>
      <c r="B30" t="s">
        <v>234</v>
      </c>
      <c r="C30">
        <v>207</v>
      </c>
      <c r="D30">
        <v>55508</v>
      </c>
      <c r="E30">
        <v>0.4</v>
      </c>
      <c r="F30">
        <v>7.5</v>
      </c>
      <c r="G30">
        <v>2.7E-2</v>
      </c>
      <c r="H30" t="s">
        <v>357</v>
      </c>
      <c r="I30">
        <v>0.4</v>
      </c>
      <c r="J30">
        <v>397</v>
      </c>
      <c r="K30" t="s">
        <v>319</v>
      </c>
      <c r="L30" s="146">
        <v>0.221</v>
      </c>
      <c r="M30" s="85">
        <v>3.9038000000000004</v>
      </c>
      <c r="N30" s="85">
        <f t="shared" si="1"/>
        <v>3.924981924373963</v>
      </c>
      <c r="O30" s="85"/>
      <c r="P30" s="85"/>
    </row>
    <row r="31" spans="1:16" x14ac:dyDescent="0.2">
      <c r="A31" s="85" t="s">
        <v>240</v>
      </c>
      <c r="B31" t="s">
        <v>234</v>
      </c>
      <c r="C31">
        <v>207</v>
      </c>
      <c r="D31">
        <v>528.29999999999995</v>
      </c>
      <c r="E31">
        <v>3.7</v>
      </c>
      <c r="F31">
        <v>0.02</v>
      </c>
      <c r="G31">
        <v>3.0000000000000001E-3</v>
      </c>
      <c r="H31" t="s">
        <v>357</v>
      </c>
      <c r="I31">
        <v>14.9</v>
      </c>
      <c r="J31">
        <v>397</v>
      </c>
      <c r="K31" t="s">
        <v>319</v>
      </c>
      <c r="L31" s="146">
        <v>0.221</v>
      </c>
      <c r="M31" s="85">
        <v>1.0480000000000001E-2</v>
      </c>
      <c r="N31" s="85">
        <f t="shared" si="1"/>
        <v>-1.6062548436153242E-3</v>
      </c>
      <c r="O31" s="85"/>
      <c r="P31" s="85"/>
    </row>
    <row r="32" spans="1:16" x14ac:dyDescent="0.2">
      <c r="A32" s="85" t="s">
        <v>241</v>
      </c>
      <c r="B32" t="s">
        <v>234</v>
      </c>
      <c r="C32">
        <v>207</v>
      </c>
      <c r="D32">
        <v>1314.1</v>
      </c>
      <c r="E32">
        <v>4.5</v>
      </c>
      <c r="F32">
        <v>0.12</v>
      </c>
      <c r="G32">
        <v>8.0000000000000002E-3</v>
      </c>
      <c r="H32" t="s">
        <v>357</v>
      </c>
      <c r="I32">
        <v>6.4</v>
      </c>
      <c r="J32">
        <v>397</v>
      </c>
      <c r="K32" t="s">
        <v>319</v>
      </c>
      <c r="L32" s="146">
        <v>0.221</v>
      </c>
      <c r="M32" s="85">
        <v>5.7640000000000004E-2</v>
      </c>
      <c r="N32" s="85">
        <f t="shared" si="1"/>
        <v>5.4514695092982603E-2</v>
      </c>
      <c r="O32" s="85"/>
      <c r="P32" s="85"/>
    </row>
    <row r="33" spans="1:16" x14ac:dyDescent="0.2">
      <c r="A33" s="85" t="s">
        <v>242</v>
      </c>
      <c r="B33" t="s">
        <v>234</v>
      </c>
      <c r="C33">
        <v>207</v>
      </c>
      <c r="D33">
        <v>1269.0999999999999</v>
      </c>
      <c r="E33">
        <v>2.4</v>
      </c>
      <c r="F33">
        <v>0.12</v>
      </c>
      <c r="G33">
        <v>4.0000000000000001E-3</v>
      </c>
      <c r="H33" t="s">
        <v>357</v>
      </c>
      <c r="I33">
        <v>3.4</v>
      </c>
      <c r="J33">
        <v>397</v>
      </c>
      <c r="K33" t="s">
        <v>319</v>
      </c>
      <c r="L33" s="146">
        <v>0.221</v>
      </c>
      <c r="M33" s="85">
        <v>5.7640000000000004E-2</v>
      </c>
      <c r="N33" s="85">
        <f t="shared" si="1"/>
        <v>5.1300845834714712E-2</v>
      </c>
      <c r="O33" s="85"/>
      <c r="P33" s="85"/>
    </row>
    <row r="34" spans="1:16" x14ac:dyDescent="0.2">
      <c r="A34" s="85" t="s">
        <v>243</v>
      </c>
      <c r="B34" t="s">
        <v>234</v>
      </c>
      <c r="C34">
        <v>207</v>
      </c>
      <c r="D34">
        <v>438.7</v>
      </c>
      <c r="E34">
        <v>9.3000000000000007</v>
      </c>
      <c r="F34">
        <v>0.01</v>
      </c>
      <c r="G34">
        <v>6.0000000000000001E-3</v>
      </c>
      <c r="H34" t="s">
        <v>357</v>
      </c>
      <c r="I34">
        <v>97.4</v>
      </c>
      <c r="J34">
        <v>397</v>
      </c>
      <c r="K34" t="s">
        <v>319</v>
      </c>
      <c r="L34" s="146">
        <v>0.221</v>
      </c>
      <c r="M34" s="85">
        <v>0</v>
      </c>
      <c r="N34" s="85">
        <f t="shared" si="1"/>
        <v>-8.0053858111887172E-3</v>
      </c>
      <c r="O34" s="85"/>
      <c r="P34" s="85"/>
    </row>
    <row r="35" spans="1:16" x14ac:dyDescent="0.2">
      <c r="A35" s="85" t="s">
        <v>244</v>
      </c>
      <c r="B35" t="s">
        <v>234</v>
      </c>
      <c r="C35">
        <v>207</v>
      </c>
      <c r="D35">
        <v>451</v>
      </c>
      <c r="E35">
        <v>2</v>
      </c>
      <c r="F35">
        <v>0.01</v>
      </c>
      <c r="G35">
        <v>1E-3</v>
      </c>
      <c r="H35" t="s">
        <v>357</v>
      </c>
      <c r="I35">
        <v>16.899999999999999</v>
      </c>
      <c r="J35">
        <v>397</v>
      </c>
      <c r="K35" t="s">
        <v>319</v>
      </c>
      <c r="L35" s="146">
        <v>0.221</v>
      </c>
      <c r="M35" s="85">
        <v>5.2400000000000007E-3</v>
      </c>
      <c r="N35" s="85">
        <f t="shared" si="1"/>
        <v>-7.1269336805954943E-3</v>
      </c>
      <c r="O35" s="85"/>
      <c r="P35" s="85"/>
    </row>
    <row r="36" spans="1:16" x14ac:dyDescent="0.2">
      <c r="A36" s="85" t="s">
        <v>245</v>
      </c>
      <c r="B36" t="s">
        <v>234</v>
      </c>
      <c r="C36">
        <v>207</v>
      </c>
      <c r="D36">
        <v>795</v>
      </c>
      <c r="E36">
        <v>2.7</v>
      </c>
      <c r="F36">
        <v>0.05</v>
      </c>
      <c r="G36">
        <v>3.0000000000000001E-3</v>
      </c>
      <c r="H36" t="s">
        <v>357</v>
      </c>
      <c r="I36">
        <v>5.4</v>
      </c>
      <c r="J36">
        <v>397</v>
      </c>
      <c r="K36" t="s">
        <v>319</v>
      </c>
      <c r="L36" s="146">
        <v>0.221</v>
      </c>
      <c r="M36" s="85">
        <v>2.6200000000000001E-2</v>
      </c>
      <c r="N36" s="85">
        <f t="shared" si="1"/>
        <v>1.7441158427052364E-2</v>
      </c>
      <c r="O36" s="85"/>
      <c r="P36" s="85"/>
    </row>
    <row r="37" spans="1:16" hidden="1" x14ac:dyDescent="0.2">
      <c r="A37" s="85" t="s">
        <v>106</v>
      </c>
      <c r="B37" t="s">
        <v>234</v>
      </c>
      <c r="C37">
        <v>207</v>
      </c>
      <c r="D37">
        <v>400</v>
      </c>
      <c r="E37">
        <v>9.9</v>
      </c>
      <c r="F37">
        <v>0</v>
      </c>
      <c r="G37">
        <v>5.0000000000000001E-3</v>
      </c>
      <c r="H37" t="s">
        <v>357</v>
      </c>
      <c r="I37">
        <v>1185.3</v>
      </c>
      <c r="J37">
        <v>397</v>
      </c>
      <c r="K37" t="s">
        <v>319</v>
      </c>
      <c r="L37" s="146">
        <v>0.221</v>
      </c>
      <c r="M37" s="85">
        <v>0</v>
      </c>
      <c r="N37" s="85">
        <f t="shared" si="1"/>
        <v>-1.07692961732991E-2</v>
      </c>
      <c r="O37" s="85"/>
      <c r="P37" s="85"/>
    </row>
    <row r="38" spans="1:16" hidden="1" x14ac:dyDescent="0.2">
      <c r="A38" s="85" t="s">
        <v>107</v>
      </c>
      <c r="B38" t="s">
        <v>234</v>
      </c>
      <c r="C38">
        <v>207</v>
      </c>
      <c r="D38">
        <v>379.3</v>
      </c>
      <c r="E38">
        <v>3.6</v>
      </c>
      <c r="F38">
        <v>0</v>
      </c>
      <c r="G38">
        <v>2E-3</v>
      </c>
      <c r="H38" t="s">
        <v>357</v>
      </c>
      <c r="I38">
        <v>78.8</v>
      </c>
      <c r="J38">
        <v>397</v>
      </c>
      <c r="K38" t="s">
        <v>319</v>
      </c>
      <c r="L38" s="146">
        <v>0.221</v>
      </c>
      <c r="M38" s="85">
        <v>-5.2400000000000007E-3</v>
      </c>
      <c r="N38" s="85">
        <f t="shared" si="1"/>
        <v>-1.2247666832102329E-2</v>
      </c>
      <c r="O38" s="85"/>
      <c r="P38" s="85"/>
    </row>
    <row r="39" spans="1:16" hidden="1" x14ac:dyDescent="0.2">
      <c r="A39" s="85" t="s">
        <v>108</v>
      </c>
      <c r="B39" t="s">
        <v>234</v>
      </c>
      <c r="C39">
        <v>207</v>
      </c>
      <c r="D39">
        <v>383.3</v>
      </c>
      <c r="E39">
        <v>5.3</v>
      </c>
      <c r="F39">
        <v>0</v>
      </c>
      <c r="G39">
        <v>3.0000000000000001E-3</v>
      </c>
      <c r="H39" t="s">
        <v>357</v>
      </c>
      <c r="I39">
        <v>151</v>
      </c>
      <c r="J39">
        <v>397</v>
      </c>
      <c r="K39" t="s">
        <v>319</v>
      </c>
      <c r="L39" s="146">
        <v>0.221</v>
      </c>
      <c r="M39" s="85">
        <v>0</v>
      </c>
      <c r="N39" s="85">
        <f t="shared" si="1"/>
        <v>-1.1961991342478516E-2</v>
      </c>
      <c r="O39" s="85"/>
      <c r="P39" s="85"/>
    </row>
    <row r="40" spans="1:16" hidden="1" x14ac:dyDescent="0.2">
      <c r="A40" s="85" t="s">
        <v>248</v>
      </c>
      <c r="B40" t="s">
        <v>234</v>
      </c>
      <c r="C40">
        <v>207</v>
      </c>
      <c r="D40">
        <v>367</v>
      </c>
      <c r="E40">
        <v>6.6</v>
      </c>
      <c r="F40">
        <v>0</v>
      </c>
      <c r="G40">
        <v>3.0000000000000001E-3</v>
      </c>
      <c r="H40" t="s">
        <v>357</v>
      </c>
      <c r="I40">
        <v>81.7</v>
      </c>
      <c r="J40">
        <v>397</v>
      </c>
      <c r="K40" t="s">
        <v>319</v>
      </c>
      <c r="L40" s="146">
        <v>0.221</v>
      </c>
      <c r="M40" s="85">
        <v>-5.2400000000000007E-3</v>
      </c>
      <c r="N40" s="85">
        <f t="shared" si="1"/>
        <v>-1.3126118962695553E-2</v>
      </c>
      <c r="O40" s="85"/>
      <c r="P40" s="85"/>
    </row>
    <row r="41" spans="1:16" hidden="1" x14ac:dyDescent="0.2">
      <c r="A41" s="85" t="s">
        <v>249</v>
      </c>
      <c r="B41" t="s">
        <v>234</v>
      </c>
      <c r="C41">
        <v>207</v>
      </c>
      <c r="D41">
        <v>400</v>
      </c>
      <c r="E41">
        <v>4.5999999999999996</v>
      </c>
      <c r="F41">
        <v>0</v>
      </c>
      <c r="G41">
        <v>3.0000000000000001E-3</v>
      </c>
      <c r="H41" t="s">
        <v>357</v>
      </c>
      <c r="I41">
        <v>555.6</v>
      </c>
      <c r="J41">
        <v>397</v>
      </c>
      <c r="K41" t="s">
        <v>319</v>
      </c>
      <c r="L41" s="146">
        <v>0.221</v>
      </c>
      <c r="M41" s="85">
        <v>0</v>
      </c>
      <c r="N41" s="85">
        <f t="shared" si="1"/>
        <v>-1.07692961732991E-2</v>
      </c>
      <c r="O41" s="85"/>
      <c r="P41" s="85"/>
    </row>
    <row r="42" spans="1:16" hidden="1" x14ac:dyDescent="0.2">
      <c r="A42" s="85" t="s">
        <v>250</v>
      </c>
      <c r="B42" t="s">
        <v>234</v>
      </c>
      <c r="C42">
        <v>207</v>
      </c>
      <c r="D42">
        <v>370.3</v>
      </c>
      <c r="E42">
        <v>9.5</v>
      </c>
      <c r="F42">
        <v>0</v>
      </c>
      <c r="G42">
        <v>5.0000000000000001E-3</v>
      </c>
      <c r="H42" t="s">
        <v>357</v>
      </c>
      <c r="I42">
        <v>134.30000000000001</v>
      </c>
      <c r="J42">
        <v>397</v>
      </c>
      <c r="K42" t="s">
        <v>319</v>
      </c>
      <c r="L42" s="146">
        <v>0.221</v>
      </c>
      <c r="M42" s="85">
        <v>-5.2400000000000007E-3</v>
      </c>
      <c r="N42" s="85">
        <f t="shared" si="1"/>
        <v>-1.2890436683755906E-2</v>
      </c>
      <c r="O42" s="85"/>
      <c r="P42" s="85"/>
    </row>
    <row r="43" spans="1:16" hidden="1" x14ac:dyDescent="0.2">
      <c r="A43" s="85" t="s">
        <v>251</v>
      </c>
      <c r="B43" t="s">
        <v>234</v>
      </c>
      <c r="C43">
        <v>207</v>
      </c>
      <c r="D43">
        <v>410.3</v>
      </c>
      <c r="E43">
        <v>7.2</v>
      </c>
      <c r="F43">
        <v>0</v>
      </c>
      <c r="G43">
        <v>4.0000000000000001E-3</v>
      </c>
      <c r="H43" t="s">
        <v>357</v>
      </c>
      <c r="I43">
        <v>215.7</v>
      </c>
      <c r="J43">
        <v>397</v>
      </c>
      <c r="K43" t="s">
        <v>319</v>
      </c>
      <c r="L43" s="146">
        <v>0.221</v>
      </c>
      <c r="M43" s="85">
        <v>0</v>
      </c>
      <c r="N43" s="85">
        <f t="shared" si="1"/>
        <v>-1.0033681787517783E-2</v>
      </c>
      <c r="O43" s="85"/>
      <c r="P43" s="85"/>
    </row>
    <row r="44" spans="1:16" hidden="1" x14ac:dyDescent="0.2">
      <c r="A44" s="85" t="s">
        <v>340</v>
      </c>
      <c r="B44" t="s">
        <v>234</v>
      </c>
      <c r="C44">
        <v>207</v>
      </c>
      <c r="D44">
        <v>389.3</v>
      </c>
      <c r="E44">
        <v>4.8</v>
      </c>
      <c r="H44" t="s">
        <v>357</v>
      </c>
      <c r="K44" t="s">
        <v>319</v>
      </c>
      <c r="L44" s="146">
        <v>0.221</v>
      </c>
      <c r="M44" s="85">
        <v>0</v>
      </c>
      <c r="N44" s="85">
        <f t="shared" si="1"/>
        <v>-1.1533478108042798E-2</v>
      </c>
      <c r="O44" s="85"/>
      <c r="P44" s="85"/>
    </row>
    <row r="45" spans="1:16" hidden="1" x14ac:dyDescent="0.2">
      <c r="A45" s="85" t="s">
        <v>358</v>
      </c>
      <c r="B45" t="s">
        <v>234</v>
      </c>
      <c r="C45">
        <v>207</v>
      </c>
      <c r="D45">
        <v>18030</v>
      </c>
      <c r="E45">
        <v>1.3</v>
      </c>
      <c r="F45">
        <v>2.4</v>
      </c>
      <c r="G45">
        <v>3.3000000000000002E-2</v>
      </c>
      <c r="H45" t="s">
        <v>357</v>
      </c>
      <c r="I45">
        <v>1.4</v>
      </c>
      <c r="J45">
        <v>389</v>
      </c>
      <c r="K45" t="s">
        <v>319</v>
      </c>
      <c r="L45" s="146">
        <v>0.221</v>
      </c>
      <c r="M45" s="85">
        <v>1.2576000000000001</v>
      </c>
      <c r="N45" s="85">
        <f>(D45-$P$46)/$P$45</f>
        <v>1.2603486418121066</v>
      </c>
      <c r="O45" s="85" t="s">
        <v>425</v>
      </c>
      <c r="P45" s="85">
        <f>SLOPE(D45:D49,M45:M49)</f>
        <v>13799.354964864853</v>
      </c>
    </row>
    <row r="46" spans="1:16" hidden="1" x14ac:dyDescent="0.2">
      <c r="A46" s="85" t="s">
        <v>360</v>
      </c>
      <c r="B46" t="s">
        <v>234</v>
      </c>
      <c r="C46">
        <v>207</v>
      </c>
      <c r="D46">
        <v>36569.4</v>
      </c>
      <c r="E46">
        <v>0.3</v>
      </c>
      <c r="F46">
        <v>4.9400000000000004</v>
      </c>
      <c r="G46">
        <v>1.4999999999999999E-2</v>
      </c>
      <c r="H46" t="s">
        <v>357</v>
      </c>
      <c r="I46">
        <v>0.3</v>
      </c>
      <c r="J46">
        <v>389</v>
      </c>
      <c r="K46" t="s">
        <v>319</v>
      </c>
      <c r="L46" s="146">
        <v>0.221</v>
      </c>
      <c r="M46" s="85">
        <v>2.5885600000000002</v>
      </c>
      <c r="N46" s="85">
        <f t="shared" ref="N46:N54" si="2">(D46-$P$46)/$P$45</f>
        <v>2.6038462217500085</v>
      </c>
      <c r="O46" s="85" t="s">
        <v>426</v>
      </c>
      <c r="P46" s="85">
        <f>INTERCEPT(D45:D49,M45:M49)</f>
        <v>638.00171214943111</v>
      </c>
    </row>
    <row r="47" spans="1:16" hidden="1" x14ac:dyDescent="0.2">
      <c r="A47" s="85" t="s">
        <v>362</v>
      </c>
      <c r="B47" t="s">
        <v>234</v>
      </c>
      <c r="C47">
        <v>207</v>
      </c>
      <c r="D47">
        <v>54441.9</v>
      </c>
      <c r="E47">
        <v>0.1</v>
      </c>
      <c r="F47">
        <v>7.42</v>
      </c>
      <c r="G47">
        <v>8.9999999999999993E-3</v>
      </c>
      <c r="H47" t="s">
        <v>357</v>
      </c>
      <c r="I47">
        <v>0.1</v>
      </c>
      <c r="J47">
        <v>389</v>
      </c>
      <c r="K47" t="s">
        <v>319</v>
      </c>
      <c r="L47" s="146">
        <v>0.221</v>
      </c>
      <c r="M47" s="85">
        <v>3.8671199999999999</v>
      </c>
      <c r="N47" s="85">
        <f t="shared" si="2"/>
        <v>3.8990154557834806</v>
      </c>
      <c r="O47" s="85" t="s">
        <v>427</v>
      </c>
      <c r="P47" s="85">
        <f>CORREL(D45:D49,M45:M49)</f>
        <v>0.99992290628695701</v>
      </c>
    </row>
    <row r="48" spans="1:16" hidden="1" x14ac:dyDescent="0.2">
      <c r="A48" s="85" t="s">
        <v>364</v>
      </c>
      <c r="B48" t="s">
        <v>234</v>
      </c>
      <c r="C48">
        <v>207</v>
      </c>
      <c r="D48">
        <v>72073</v>
      </c>
      <c r="E48">
        <v>0.8</v>
      </c>
      <c r="F48">
        <v>9.98</v>
      </c>
      <c r="G48">
        <v>8.4000000000000005E-2</v>
      </c>
      <c r="H48" t="s">
        <v>357</v>
      </c>
      <c r="I48">
        <v>0.8</v>
      </c>
      <c r="J48">
        <v>389</v>
      </c>
      <c r="K48" t="s">
        <v>319</v>
      </c>
      <c r="L48" s="146">
        <v>0.221</v>
      </c>
      <c r="M48" s="85">
        <v>5.2085600000000003</v>
      </c>
      <c r="N48" s="85">
        <f t="shared" si="2"/>
        <v>5.1766911185149143</v>
      </c>
      <c r="O48" s="85"/>
      <c r="P48" s="85"/>
    </row>
    <row r="49" spans="1:16" hidden="1" x14ac:dyDescent="0.2">
      <c r="A49" s="85" t="s">
        <v>411</v>
      </c>
      <c r="B49" t="s">
        <v>234</v>
      </c>
      <c r="C49">
        <v>207</v>
      </c>
      <c r="D49">
        <v>678</v>
      </c>
      <c r="E49">
        <v>7.7</v>
      </c>
      <c r="F49">
        <v>0.04</v>
      </c>
      <c r="G49">
        <v>7.0000000000000001E-3</v>
      </c>
      <c r="H49" t="s">
        <v>357</v>
      </c>
      <c r="I49">
        <v>18.100000000000001</v>
      </c>
      <c r="J49">
        <v>389</v>
      </c>
      <c r="K49" t="s">
        <v>319</v>
      </c>
      <c r="L49" s="146">
        <v>0.221</v>
      </c>
      <c r="M49" s="85">
        <v>2.0960000000000003E-2</v>
      </c>
      <c r="N49" s="85">
        <f t="shared" si="2"/>
        <v>2.898562139492048E-3</v>
      </c>
      <c r="O49" s="85"/>
      <c r="P49" s="85"/>
    </row>
    <row r="50" spans="1:16" hidden="1" x14ac:dyDescent="0.2">
      <c r="A50" s="85" t="s">
        <v>413</v>
      </c>
      <c r="B50" t="s">
        <v>234</v>
      </c>
      <c r="C50">
        <v>207</v>
      </c>
      <c r="D50">
        <v>2677.9</v>
      </c>
      <c r="E50">
        <v>4.3</v>
      </c>
      <c r="F50">
        <v>0.32</v>
      </c>
      <c r="G50">
        <v>1.6E-2</v>
      </c>
      <c r="H50" t="s">
        <v>357</v>
      </c>
      <c r="I50">
        <v>5.0999999999999996</v>
      </c>
      <c r="J50">
        <v>389</v>
      </c>
      <c r="K50" t="s">
        <v>319</v>
      </c>
      <c r="L50" s="146">
        <v>0.221</v>
      </c>
      <c r="M50" s="85">
        <v>0.16244</v>
      </c>
      <c r="N50" s="85">
        <f t="shared" si="2"/>
        <v>0.14782562612849978</v>
      </c>
      <c r="O50" s="85"/>
      <c r="P50" s="85"/>
    </row>
    <row r="51" spans="1:16" hidden="1" x14ac:dyDescent="0.2">
      <c r="A51" s="85" t="s">
        <v>415</v>
      </c>
      <c r="B51" t="s">
        <v>234</v>
      </c>
      <c r="C51">
        <v>207</v>
      </c>
      <c r="D51">
        <v>1753.4</v>
      </c>
      <c r="E51">
        <v>4.5</v>
      </c>
      <c r="F51">
        <v>0.19</v>
      </c>
      <c r="G51">
        <v>1.0999999999999999E-2</v>
      </c>
      <c r="H51" t="s">
        <v>357</v>
      </c>
      <c r="I51">
        <v>5.7</v>
      </c>
      <c r="J51">
        <v>389</v>
      </c>
      <c r="K51" t="s">
        <v>319</v>
      </c>
      <c r="L51" s="146">
        <v>0.221</v>
      </c>
      <c r="M51" s="85">
        <v>9.956000000000001E-2</v>
      </c>
      <c r="N51" s="85">
        <f t="shared" si="2"/>
        <v>8.0829741005324793E-2</v>
      </c>
      <c r="O51" s="85"/>
      <c r="P51" s="85"/>
    </row>
    <row r="52" spans="1:16" hidden="1" x14ac:dyDescent="0.2">
      <c r="A52" s="85" t="s">
        <v>417</v>
      </c>
      <c r="B52" t="s">
        <v>234</v>
      </c>
      <c r="C52">
        <v>207</v>
      </c>
      <c r="D52">
        <v>5047.8999999999996</v>
      </c>
      <c r="E52">
        <v>1.1000000000000001</v>
      </c>
      <c r="F52">
        <v>0.65</v>
      </c>
      <c r="G52">
        <v>8.0000000000000002E-3</v>
      </c>
      <c r="H52" t="s">
        <v>357</v>
      </c>
      <c r="I52">
        <v>1.2</v>
      </c>
      <c r="J52">
        <v>389</v>
      </c>
      <c r="K52" t="s">
        <v>319</v>
      </c>
      <c r="L52" s="146">
        <v>0.221</v>
      </c>
      <c r="M52" s="85">
        <v>0.34060000000000001</v>
      </c>
      <c r="N52" s="85">
        <f t="shared" si="2"/>
        <v>0.31957278431338315</v>
      </c>
      <c r="O52" s="85"/>
      <c r="P52" s="85"/>
    </row>
    <row r="53" spans="1:16" hidden="1" x14ac:dyDescent="0.2">
      <c r="A53" s="85" t="s">
        <v>419</v>
      </c>
      <c r="B53" t="s">
        <v>234</v>
      </c>
      <c r="C53">
        <v>207</v>
      </c>
      <c r="D53">
        <v>1111</v>
      </c>
      <c r="E53">
        <v>3.5</v>
      </c>
      <c r="F53">
        <v>0.1</v>
      </c>
      <c r="G53">
        <v>5.0000000000000001E-3</v>
      </c>
      <c r="H53" t="s">
        <v>357</v>
      </c>
      <c r="I53">
        <v>5.4</v>
      </c>
      <c r="J53">
        <v>389</v>
      </c>
      <c r="K53" t="s">
        <v>319</v>
      </c>
      <c r="L53" s="146">
        <v>0.221</v>
      </c>
      <c r="M53" s="85">
        <v>4.7160000000000001E-2</v>
      </c>
      <c r="N53" s="85">
        <f t="shared" si="2"/>
        <v>3.4276840407025597E-2</v>
      </c>
      <c r="O53" s="85"/>
      <c r="P53" s="85"/>
    </row>
    <row r="54" spans="1:16" hidden="1" x14ac:dyDescent="0.2">
      <c r="A54" s="85" t="s">
        <v>421</v>
      </c>
      <c r="B54" t="s">
        <v>234</v>
      </c>
      <c r="C54">
        <v>207</v>
      </c>
      <c r="D54">
        <v>1062</v>
      </c>
      <c r="E54">
        <v>4.0999999999999996</v>
      </c>
      <c r="F54">
        <v>0.09</v>
      </c>
      <c r="G54">
        <v>6.0000000000000001E-3</v>
      </c>
      <c r="H54" t="s">
        <v>357</v>
      </c>
      <c r="I54">
        <v>6.5</v>
      </c>
      <c r="J54">
        <v>389</v>
      </c>
      <c r="K54" t="s">
        <v>319</v>
      </c>
      <c r="L54" s="146">
        <v>0.221</v>
      </c>
      <c r="M54" s="85">
        <v>4.7160000000000001E-2</v>
      </c>
      <c r="N54" s="85">
        <f t="shared" si="2"/>
        <v>3.0725949794764295E-2</v>
      </c>
      <c r="O54" s="85"/>
      <c r="P54" s="85"/>
    </row>
  </sheetData>
  <autoFilter ref="A1:P54">
    <filterColumn colId="0">
      <customFilters>
        <customFilter val="TDM*"/>
      </customFilters>
    </filterColumn>
  </autoFilter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P54"/>
  <sheetViews>
    <sheetView workbookViewId="0">
      <selection activeCell="N25" sqref="N25:N36"/>
    </sheetView>
  </sheetViews>
  <sheetFormatPr defaultColWidth="11.42578125" defaultRowHeight="12.75" x14ac:dyDescent="0.2"/>
  <cols>
    <col min="1" max="1" width="13.7109375" style="85" customWidth="1"/>
    <col min="3" max="3" width="5.140625" bestFit="1" customWidth="1"/>
    <col min="4" max="4" width="9.140625" bestFit="1" customWidth="1"/>
    <col min="5" max="5" width="6.28515625" bestFit="1" customWidth="1"/>
    <col min="6" max="6" width="7.85546875" customWidth="1"/>
    <col min="7" max="7" width="9.7109375" customWidth="1"/>
    <col min="8" max="8" width="7.28515625" customWidth="1"/>
    <col min="9" max="9" width="8.140625" customWidth="1"/>
    <col min="10" max="10" width="14.7109375" customWidth="1"/>
    <col min="11" max="11" width="12.7109375" customWidth="1"/>
    <col min="12" max="12" width="22" bestFit="1" customWidth="1"/>
    <col min="13" max="13" width="20.28515625" bestFit="1" customWidth="1"/>
    <col min="14" max="14" width="21" bestFit="1" customWidth="1"/>
  </cols>
  <sheetData>
    <row r="1" spans="1:16" s="85" customFormat="1" x14ac:dyDescent="0.2">
      <c r="A1" s="85" t="s">
        <v>71</v>
      </c>
      <c r="B1" s="85" t="s">
        <v>428</v>
      </c>
      <c r="C1" s="85" t="s">
        <v>349</v>
      </c>
      <c r="D1" s="85" t="s">
        <v>350</v>
      </c>
      <c r="E1" s="85" t="s">
        <v>351</v>
      </c>
      <c r="F1" s="85" t="s">
        <v>352</v>
      </c>
      <c r="G1" s="85" t="s">
        <v>353</v>
      </c>
      <c r="H1" s="85" t="s">
        <v>314</v>
      </c>
      <c r="I1" s="85" t="s">
        <v>351</v>
      </c>
      <c r="J1" s="85" t="s">
        <v>354</v>
      </c>
      <c r="K1" s="85" t="s">
        <v>355</v>
      </c>
      <c r="L1" s="85" t="s">
        <v>429</v>
      </c>
      <c r="M1" s="85" t="s">
        <v>430</v>
      </c>
      <c r="N1" s="85" t="s">
        <v>431</v>
      </c>
    </row>
    <row r="2" spans="1:16" hidden="1" x14ac:dyDescent="0.2">
      <c r="A2" t="s">
        <v>340</v>
      </c>
      <c r="B2" s="85" t="s">
        <v>234</v>
      </c>
      <c r="C2" s="85">
        <v>208</v>
      </c>
      <c r="D2" s="85">
        <v>905.4</v>
      </c>
      <c r="E2" s="85">
        <v>7.8</v>
      </c>
      <c r="F2" s="85">
        <v>0</v>
      </c>
      <c r="G2" s="85"/>
      <c r="H2" s="85" t="s">
        <v>357</v>
      </c>
      <c r="I2" s="85"/>
      <c r="J2" s="85"/>
      <c r="K2" s="85" t="s">
        <v>319</v>
      </c>
      <c r="L2" s="145">
        <v>0.52400000000000002</v>
      </c>
      <c r="M2" s="85">
        <v>0</v>
      </c>
      <c r="N2">
        <f>(D2-$P$3)/$P$2</f>
        <v>1.4509792529841768E-2</v>
      </c>
      <c r="O2" t="s">
        <v>425</v>
      </c>
      <c r="P2">
        <f>SLOPE(D2:D6,M2:M6)</f>
        <v>35406.200511629017</v>
      </c>
    </row>
    <row r="3" spans="1:16" hidden="1" x14ac:dyDescent="0.2">
      <c r="A3" t="s">
        <v>358</v>
      </c>
      <c r="B3" s="85" t="s">
        <v>234</v>
      </c>
      <c r="C3" s="85">
        <v>208</v>
      </c>
      <c r="D3" s="85">
        <v>46314.3</v>
      </c>
      <c r="E3" s="85">
        <v>1.4</v>
      </c>
      <c r="F3" s="85">
        <v>2.5</v>
      </c>
      <c r="G3" s="85">
        <v>3.6999999999999998E-2</v>
      </c>
      <c r="H3" s="85" t="s">
        <v>357</v>
      </c>
      <c r="I3" s="85">
        <v>1.5</v>
      </c>
      <c r="J3" s="85">
        <v>905</v>
      </c>
      <c r="K3" s="85" t="s">
        <v>319</v>
      </c>
      <c r="L3" s="145">
        <v>0.52400000000000002</v>
      </c>
      <c r="M3" s="85">
        <v>1.31</v>
      </c>
      <c r="N3" s="85">
        <f t="shared" ref="N3:N19" si="0">(D3-$P$3)/$P$2</f>
        <v>1.2970224412701561</v>
      </c>
      <c r="O3" t="s">
        <v>426</v>
      </c>
      <c r="P3">
        <f>INTERCEPT(D2:D6,M2:M6)</f>
        <v>391.6633763062855</v>
      </c>
    </row>
    <row r="4" spans="1:16" hidden="1" x14ac:dyDescent="0.2">
      <c r="A4" t="s">
        <v>360</v>
      </c>
      <c r="B4" s="85" t="s">
        <v>234</v>
      </c>
      <c r="C4" s="85">
        <v>208</v>
      </c>
      <c r="D4" s="85">
        <v>93488.6</v>
      </c>
      <c r="E4" s="85">
        <v>1.5</v>
      </c>
      <c r="F4" s="85">
        <v>5.0199999999999996</v>
      </c>
      <c r="G4" s="85">
        <v>7.6999999999999999E-2</v>
      </c>
      <c r="H4" s="85" t="s">
        <v>357</v>
      </c>
      <c r="I4" s="85">
        <v>1.5</v>
      </c>
      <c r="J4" s="85">
        <v>905</v>
      </c>
      <c r="K4" s="85" t="s">
        <v>319</v>
      </c>
      <c r="L4" s="145">
        <v>0.52400000000000002</v>
      </c>
      <c r="M4" s="85">
        <v>2.6304799999999999</v>
      </c>
      <c r="N4" s="85">
        <f t="shared" si="0"/>
        <v>2.629396413012925</v>
      </c>
      <c r="O4" t="s">
        <v>427</v>
      </c>
      <c r="P4">
        <f>CORREL(D2:D6,M2:M6)</f>
        <v>0.9999740406110128</v>
      </c>
    </row>
    <row r="5" spans="1:16" hidden="1" x14ac:dyDescent="0.2">
      <c r="A5" t="s">
        <v>362</v>
      </c>
      <c r="B5" s="85" t="s">
        <v>234</v>
      </c>
      <c r="C5" s="85">
        <v>208</v>
      </c>
      <c r="D5" s="85">
        <v>138772.79999999999</v>
      </c>
      <c r="E5" s="85">
        <v>0.8</v>
      </c>
      <c r="F5" s="85">
        <v>7.49</v>
      </c>
      <c r="G5" s="85">
        <v>0.06</v>
      </c>
      <c r="H5" s="85" t="s">
        <v>357</v>
      </c>
      <c r="I5" s="85">
        <v>0.8</v>
      </c>
      <c r="J5" s="85">
        <v>905</v>
      </c>
      <c r="K5" s="85" t="s">
        <v>319</v>
      </c>
      <c r="L5" s="145">
        <v>0.52400000000000002</v>
      </c>
      <c r="M5" s="85">
        <v>3.9247600000000005</v>
      </c>
      <c r="N5" s="85">
        <f t="shared" si="0"/>
        <v>3.9083870797783851</v>
      </c>
    </row>
    <row r="6" spans="1:16" hidden="1" x14ac:dyDescent="0.2">
      <c r="A6" t="s">
        <v>364</v>
      </c>
      <c r="B6" s="85" t="s">
        <v>234</v>
      </c>
      <c r="C6" s="85">
        <v>208</v>
      </c>
      <c r="D6" s="85">
        <v>187968.2</v>
      </c>
      <c r="E6" s="85">
        <v>0.6</v>
      </c>
      <c r="F6" s="85">
        <v>10.08</v>
      </c>
      <c r="G6" s="85">
        <v>6.4000000000000001E-2</v>
      </c>
      <c r="H6" s="85" t="s">
        <v>357</v>
      </c>
      <c r="I6" s="85">
        <v>0.6</v>
      </c>
      <c r="J6" s="85">
        <v>905</v>
      </c>
      <c r="K6" s="85" t="s">
        <v>319</v>
      </c>
      <c r="L6" s="145">
        <v>0.52400000000000002</v>
      </c>
      <c r="M6" s="85">
        <v>5.2819200000000004</v>
      </c>
      <c r="N6" s="85">
        <f t="shared" si="0"/>
        <v>5.2978442734086926</v>
      </c>
    </row>
    <row r="7" spans="1:16" hidden="1" x14ac:dyDescent="0.2">
      <c r="A7" t="s">
        <v>213</v>
      </c>
      <c r="B7" s="85" t="s">
        <v>234</v>
      </c>
      <c r="C7" s="85">
        <v>208</v>
      </c>
      <c r="D7" s="85">
        <v>7665.7</v>
      </c>
      <c r="E7" s="85">
        <v>1.1000000000000001</v>
      </c>
      <c r="F7" s="85">
        <v>0.36</v>
      </c>
      <c r="G7" s="85">
        <v>5.0000000000000001E-3</v>
      </c>
      <c r="H7" s="85" t="s">
        <v>357</v>
      </c>
      <c r="I7" s="85">
        <v>1.3</v>
      </c>
      <c r="J7" s="85">
        <v>905</v>
      </c>
      <c r="K7" s="85" t="s">
        <v>319</v>
      </c>
      <c r="L7" s="145">
        <v>0.52400000000000002</v>
      </c>
      <c r="M7" s="85">
        <v>0.18864</v>
      </c>
      <c r="N7" s="85">
        <f t="shared" si="0"/>
        <v>0.20544527564612836</v>
      </c>
    </row>
    <row r="8" spans="1:16" hidden="1" x14ac:dyDescent="0.2">
      <c r="A8" t="s">
        <v>214</v>
      </c>
      <c r="B8" s="85" t="s">
        <v>234</v>
      </c>
      <c r="C8" s="85">
        <v>208</v>
      </c>
      <c r="D8" s="85">
        <v>5837.5</v>
      </c>
      <c r="E8" s="85">
        <v>1.2</v>
      </c>
      <c r="F8" s="85">
        <v>0.27</v>
      </c>
      <c r="G8" s="85">
        <v>4.0000000000000001E-3</v>
      </c>
      <c r="H8" s="85" t="s">
        <v>357</v>
      </c>
      <c r="I8" s="85">
        <v>1.4</v>
      </c>
      <c r="J8" s="85">
        <v>905</v>
      </c>
      <c r="K8" s="85" t="s">
        <v>319</v>
      </c>
      <c r="L8" s="145">
        <v>0.52400000000000002</v>
      </c>
      <c r="M8" s="85">
        <v>0.14148000000000002</v>
      </c>
      <c r="N8" s="85">
        <f t="shared" si="0"/>
        <v>0.15381025201800608</v>
      </c>
    </row>
    <row r="9" spans="1:16" hidden="1" x14ac:dyDescent="0.2">
      <c r="A9" t="s">
        <v>215</v>
      </c>
      <c r="B9" s="85" t="s">
        <v>234</v>
      </c>
      <c r="C9" s="85">
        <v>208</v>
      </c>
      <c r="D9" s="85">
        <v>33924.9</v>
      </c>
      <c r="E9" s="85">
        <v>1.5</v>
      </c>
      <c r="F9" s="85">
        <v>1.78</v>
      </c>
      <c r="G9" s="85">
        <v>2.8000000000000001E-2</v>
      </c>
      <c r="H9" s="85" t="s">
        <v>357</v>
      </c>
      <c r="I9" s="85">
        <v>1.6</v>
      </c>
      <c r="J9" s="85">
        <v>905</v>
      </c>
      <c r="K9" s="85" t="s">
        <v>319</v>
      </c>
      <c r="L9" s="145">
        <v>0.52400000000000002</v>
      </c>
      <c r="M9" s="85">
        <v>0.9327200000000001</v>
      </c>
      <c r="N9" s="85">
        <f t="shared" si="0"/>
        <v>0.94710068121203417</v>
      </c>
    </row>
    <row r="10" spans="1:16" hidden="1" x14ac:dyDescent="0.2">
      <c r="A10" t="s">
        <v>216</v>
      </c>
      <c r="B10" s="85" t="s">
        <v>234</v>
      </c>
      <c r="C10" s="85">
        <v>208</v>
      </c>
      <c r="D10" s="85">
        <v>4712.1000000000004</v>
      </c>
      <c r="E10" s="85">
        <v>2.8</v>
      </c>
      <c r="F10" s="85">
        <v>0.21</v>
      </c>
      <c r="G10" s="85">
        <v>7.0000000000000001E-3</v>
      </c>
      <c r="H10" s="85" t="s">
        <v>357</v>
      </c>
      <c r="I10" s="85">
        <v>3.4</v>
      </c>
      <c r="J10" s="85">
        <v>905</v>
      </c>
      <c r="K10" s="85" t="s">
        <v>319</v>
      </c>
      <c r="L10" s="145">
        <v>0.52400000000000002</v>
      </c>
      <c r="M10" s="85">
        <v>0.11004</v>
      </c>
      <c r="N10" s="85">
        <f t="shared" si="0"/>
        <v>0.1220248589586642</v>
      </c>
    </row>
    <row r="11" spans="1:16" hidden="1" x14ac:dyDescent="0.2">
      <c r="A11" t="s">
        <v>217</v>
      </c>
      <c r="B11" s="85" t="s">
        <v>234</v>
      </c>
      <c r="C11" s="85">
        <v>208</v>
      </c>
      <c r="D11" s="85">
        <v>4420.7</v>
      </c>
      <c r="E11" s="85">
        <v>1.5</v>
      </c>
      <c r="F11" s="85">
        <v>0.19</v>
      </c>
      <c r="G11" s="85">
        <v>4.0000000000000001E-3</v>
      </c>
      <c r="H11" s="85" t="s">
        <v>357</v>
      </c>
      <c r="I11" s="85">
        <v>1.9</v>
      </c>
      <c r="J11" s="85">
        <v>905</v>
      </c>
      <c r="K11" s="85" t="s">
        <v>319</v>
      </c>
      <c r="L11" s="145">
        <v>0.52400000000000002</v>
      </c>
      <c r="M11" s="85">
        <v>9.956000000000001E-2</v>
      </c>
      <c r="N11" s="85">
        <f t="shared" si="0"/>
        <v>0.11379466210644078</v>
      </c>
    </row>
    <row r="12" spans="1:16" hidden="1" x14ac:dyDescent="0.2">
      <c r="A12" t="s">
        <v>371</v>
      </c>
      <c r="B12" s="85" t="s">
        <v>234</v>
      </c>
      <c r="C12" s="85">
        <v>208</v>
      </c>
      <c r="D12" s="85">
        <v>147482.70000000001</v>
      </c>
      <c r="E12" s="85">
        <v>0.7</v>
      </c>
      <c r="F12" s="85">
        <v>7.9</v>
      </c>
      <c r="G12" s="85">
        <v>5.8999999999999997E-2</v>
      </c>
      <c r="H12" s="85" t="s">
        <v>357</v>
      </c>
      <c r="I12" s="85">
        <v>0.7</v>
      </c>
      <c r="J12" s="85">
        <v>905</v>
      </c>
      <c r="K12" s="85" t="s">
        <v>319</v>
      </c>
      <c r="L12" s="145">
        <v>0.52400000000000002</v>
      </c>
      <c r="M12" s="85">
        <v>4.1396000000000006</v>
      </c>
      <c r="N12" s="85">
        <f t="shared" si="0"/>
        <v>4.1543863644838783</v>
      </c>
    </row>
    <row r="13" spans="1:16" hidden="1" x14ac:dyDescent="0.2">
      <c r="A13" t="s">
        <v>218</v>
      </c>
      <c r="B13" s="85" t="s">
        <v>234</v>
      </c>
      <c r="C13" s="85">
        <v>208</v>
      </c>
      <c r="D13" s="85">
        <v>2822.3</v>
      </c>
      <c r="E13" s="85">
        <v>1.7</v>
      </c>
      <c r="F13" s="85">
        <v>0.1</v>
      </c>
      <c r="G13" s="85">
        <v>3.0000000000000001E-3</v>
      </c>
      <c r="H13" s="85" t="s">
        <v>357</v>
      </c>
      <c r="I13" s="85">
        <v>2.5</v>
      </c>
      <c r="J13" s="85">
        <v>905</v>
      </c>
      <c r="K13" s="85" t="s">
        <v>319</v>
      </c>
      <c r="L13" s="145">
        <v>0.52400000000000002</v>
      </c>
      <c r="M13" s="85">
        <v>5.2400000000000002E-2</v>
      </c>
      <c r="N13" s="85">
        <f t="shared" si="0"/>
        <v>6.865002707351732E-2</v>
      </c>
    </row>
    <row r="14" spans="1:16" hidden="1" x14ac:dyDescent="0.2">
      <c r="A14" t="s">
        <v>219</v>
      </c>
      <c r="B14" s="85" t="s">
        <v>234</v>
      </c>
      <c r="C14" s="85">
        <v>208</v>
      </c>
      <c r="D14" s="85">
        <v>5711.1</v>
      </c>
      <c r="E14" s="85">
        <v>1.4</v>
      </c>
      <c r="F14" s="85">
        <v>0.26</v>
      </c>
      <c r="G14" s="85">
        <v>4.0000000000000001E-3</v>
      </c>
      <c r="H14" s="85" t="s">
        <v>357</v>
      </c>
      <c r="I14" s="85">
        <v>1.6</v>
      </c>
      <c r="J14" s="85">
        <v>905</v>
      </c>
      <c r="K14" s="85" t="s">
        <v>319</v>
      </c>
      <c r="L14" s="145">
        <v>0.52400000000000002</v>
      </c>
      <c r="M14" s="85">
        <v>0.13624</v>
      </c>
      <c r="N14" s="85">
        <f t="shared" si="0"/>
        <v>0.15024025585424136</v>
      </c>
    </row>
    <row r="15" spans="1:16" hidden="1" x14ac:dyDescent="0.2">
      <c r="A15" t="s">
        <v>220</v>
      </c>
      <c r="B15" s="85" t="s">
        <v>234</v>
      </c>
      <c r="C15" s="85">
        <v>208</v>
      </c>
      <c r="D15" s="85">
        <v>8410.5</v>
      </c>
      <c r="E15" s="85">
        <v>1.5</v>
      </c>
      <c r="F15" s="85">
        <v>0.4</v>
      </c>
      <c r="G15" s="85">
        <v>7.0000000000000001E-3</v>
      </c>
      <c r="H15" s="85" t="s">
        <v>357</v>
      </c>
      <c r="I15" s="85">
        <v>1.7</v>
      </c>
      <c r="J15" s="85">
        <v>905</v>
      </c>
      <c r="K15" s="85" t="s">
        <v>319</v>
      </c>
      <c r="L15" s="145">
        <v>0.52400000000000002</v>
      </c>
      <c r="M15" s="85">
        <v>0.20960000000000001</v>
      </c>
      <c r="N15" s="85">
        <f t="shared" si="0"/>
        <v>0.22648113911742554</v>
      </c>
    </row>
    <row r="16" spans="1:16" hidden="1" x14ac:dyDescent="0.2">
      <c r="A16" t="s">
        <v>221</v>
      </c>
      <c r="B16" s="85" t="s">
        <v>234</v>
      </c>
      <c r="C16" s="85">
        <v>208</v>
      </c>
      <c r="D16" s="85">
        <v>2200.8000000000002</v>
      </c>
      <c r="E16" s="85">
        <v>2</v>
      </c>
      <c r="F16" s="85">
        <v>7.0000000000000007E-2</v>
      </c>
      <c r="G16" s="85">
        <v>2E-3</v>
      </c>
      <c r="H16" s="85" t="s">
        <v>357</v>
      </c>
      <c r="I16" s="85">
        <v>3.4</v>
      </c>
      <c r="J16" s="85">
        <v>905</v>
      </c>
      <c r="K16" s="85" t="s">
        <v>319</v>
      </c>
      <c r="L16" s="145">
        <v>0.52400000000000002</v>
      </c>
      <c r="M16" s="85">
        <v>3.6680000000000004E-2</v>
      </c>
      <c r="N16" s="85">
        <f t="shared" si="0"/>
        <v>5.1096604480322917E-2</v>
      </c>
    </row>
    <row r="17" spans="1:16" hidden="1" x14ac:dyDescent="0.2">
      <c r="A17" t="s">
        <v>222</v>
      </c>
      <c r="B17" s="85" t="s">
        <v>234</v>
      </c>
      <c r="C17" s="85">
        <v>208</v>
      </c>
      <c r="D17" s="85">
        <v>5253.3</v>
      </c>
      <c r="E17" s="85">
        <v>1.3</v>
      </c>
      <c r="F17" s="85">
        <v>0.23</v>
      </c>
      <c r="G17" s="85">
        <v>4.0000000000000001E-3</v>
      </c>
      <c r="H17" s="85" t="s">
        <v>357</v>
      </c>
      <c r="I17" s="85">
        <v>1.5</v>
      </c>
      <c r="J17" s="85">
        <v>905</v>
      </c>
      <c r="K17" s="85" t="s">
        <v>319</v>
      </c>
      <c r="L17" s="145">
        <v>0.52400000000000002</v>
      </c>
      <c r="M17" s="85">
        <v>0.12052000000000002</v>
      </c>
      <c r="N17" s="85">
        <f t="shared" si="0"/>
        <v>0.1373103172168087</v>
      </c>
    </row>
    <row r="18" spans="1:16" hidden="1" x14ac:dyDescent="0.2">
      <c r="A18" t="s">
        <v>223</v>
      </c>
      <c r="B18" s="85" t="s">
        <v>234</v>
      </c>
      <c r="C18" s="85">
        <v>208</v>
      </c>
      <c r="D18" s="85">
        <v>2371.9</v>
      </c>
      <c r="E18" s="85">
        <v>3.1</v>
      </c>
      <c r="F18" s="85">
        <v>0.08</v>
      </c>
      <c r="G18" s="85">
        <v>4.0000000000000001E-3</v>
      </c>
      <c r="H18" s="85" t="s">
        <v>357</v>
      </c>
      <c r="I18" s="85">
        <v>5</v>
      </c>
      <c r="J18" s="85">
        <v>905</v>
      </c>
      <c r="K18" s="85" t="s">
        <v>319</v>
      </c>
      <c r="L18" s="145">
        <v>0.52400000000000002</v>
      </c>
      <c r="M18" s="85">
        <v>4.1920000000000006E-2</v>
      </c>
      <c r="N18" s="85">
        <f t="shared" si="0"/>
        <v>5.5929091376051891E-2</v>
      </c>
    </row>
    <row r="19" spans="1:16" hidden="1" x14ac:dyDescent="0.2">
      <c r="A19" t="s">
        <v>379</v>
      </c>
      <c r="B19" s="85" t="s">
        <v>234</v>
      </c>
      <c r="C19" s="85">
        <v>208</v>
      </c>
      <c r="D19" s="85">
        <v>142466.20000000001</v>
      </c>
      <c r="E19" s="85">
        <v>0.4</v>
      </c>
      <c r="F19" s="85">
        <v>7.62</v>
      </c>
      <c r="G19" s="85">
        <v>2.9000000000000001E-2</v>
      </c>
      <c r="H19" s="85" t="s">
        <v>357</v>
      </c>
      <c r="I19" s="85">
        <v>0.4</v>
      </c>
      <c r="J19" s="85">
        <v>905</v>
      </c>
      <c r="K19" s="85" t="s">
        <v>319</v>
      </c>
      <c r="L19" s="145">
        <v>0.52400000000000002</v>
      </c>
      <c r="M19" s="85">
        <v>3.9928800000000004</v>
      </c>
      <c r="N19" s="85">
        <f t="shared" si="0"/>
        <v>4.0127021417344659</v>
      </c>
    </row>
    <row r="20" spans="1:16" hidden="1" x14ac:dyDescent="0.2">
      <c r="A20" t="s">
        <v>340</v>
      </c>
      <c r="B20" s="85" t="s">
        <v>234</v>
      </c>
      <c r="C20" s="85">
        <v>208</v>
      </c>
      <c r="D20" s="85">
        <v>1028</v>
      </c>
      <c r="E20" s="85">
        <v>4.7</v>
      </c>
      <c r="F20" s="85"/>
      <c r="G20" s="85"/>
      <c r="H20" s="85" t="s">
        <v>357</v>
      </c>
      <c r="I20" s="85"/>
      <c r="J20" s="85"/>
      <c r="K20" s="85" t="s">
        <v>319</v>
      </c>
      <c r="L20" s="145">
        <v>0.52400000000000002</v>
      </c>
      <c r="M20" s="85">
        <v>0</v>
      </c>
      <c r="N20" s="85">
        <f>(D20-$P$21)/$P$20</f>
        <v>-2.973052587440302E-4</v>
      </c>
      <c r="O20" s="85" t="s">
        <v>425</v>
      </c>
      <c r="P20" s="85">
        <f>SLOPE(D20:D24,M20:M24)</f>
        <v>35395.883857960413</v>
      </c>
    </row>
    <row r="21" spans="1:16" hidden="1" x14ac:dyDescent="0.2">
      <c r="A21" t="s">
        <v>358</v>
      </c>
      <c r="B21" s="85" t="s">
        <v>234</v>
      </c>
      <c r="C21" s="85">
        <v>208</v>
      </c>
      <c r="D21" s="85">
        <v>46852.4</v>
      </c>
      <c r="E21" s="85">
        <v>0.8</v>
      </c>
      <c r="F21" s="85">
        <v>2.4700000000000002</v>
      </c>
      <c r="G21" s="85">
        <v>0.02</v>
      </c>
      <c r="H21" s="85" t="s">
        <v>357</v>
      </c>
      <c r="I21" s="85">
        <v>0.8</v>
      </c>
      <c r="J21" s="85">
        <v>1028</v>
      </c>
      <c r="K21" s="85" t="s">
        <v>319</v>
      </c>
      <c r="L21" s="145">
        <v>0.52400000000000002</v>
      </c>
      <c r="M21" s="85">
        <v>1.2942800000000001</v>
      </c>
      <c r="N21" s="85">
        <f t="shared" ref="N21:N44" si="1">(D21-$P$21)/$P$20</f>
        <v>1.2943278038044459</v>
      </c>
      <c r="O21" s="85" t="s">
        <v>426</v>
      </c>
      <c r="P21" s="85">
        <f>INTERCEPT(D20:D24,M20:M24)</f>
        <v>1038.5233824088646</v>
      </c>
    </row>
    <row r="22" spans="1:16" hidden="1" x14ac:dyDescent="0.2">
      <c r="A22" t="s">
        <v>360</v>
      </c>
      <c r="B22" s="85" t="s">
        <v>234</v>
      </c>
      <c r="C22" s="85">
        <v>208</v>
      </c>
      <c r="D22" s="85">
        <v>92761.2</v>
      </c>
      <c r="E22" s="85">
        <v>0.2</v>
      </c>
      <c r="F22" s="85">
        <v>4.95</v>
      </c>
      <c r="G22" s="85">
        <v>1.2E-2</v>
      </c>
      <c r="H22" s="85" t="s">
        <v>357</v>
      </c>
      <c r="I22" s="85">
        <v>0.2</v>
      </c>
      <c r="J22" s="85">
        <v>1028</v>
      </c>
      <c r="K22" s="85" t="s">
        <v>319</v>
      </c>
      <c r="L22" s="145">
        <v>0.52400000000000002</v>
      </c>
      <c r="M22" s="85">
        <v>2.5938000000000003</v>
      </c>
      <c r="N22" s="85">
        <f t="shared" si="1"/>
        <v>2.5913373709119294</v>
      </c>
      <c r="O22" s="85" t="s">
        <v>427</v>
      </c>
      <c r="P22" s="85">
        <f>CORREL(D20:D24,M20:M24)</f>
        <v>0.99999855116039493</v>
      </c>
    </row>
    <row r="23" spans="1:16" hidden="1" x14ac:dyDescent="0.2">
      <c r="A23" t="s">
        <v>362</v>
      </c>
      <c r="B23" s="85" t="s">
        <v>234</v>
      </c>
      <c r="C23" s="85">
        <v>208</v>
      </c>
      <c r="D23" s="85">
        <v>139423.70000000001</v>
      </c>
      <c r="E23" s="85">
        <v>0.3</v>
      </c>
      <c r="F23" s="85">
        <v>7.45</v>
      </c>
      <c r="G23" s="85">
        <v>2.4E-2</v>
      </c>
      <c r="H23" s="85" t="s">
        <v>357</v>
      </c>
      <c r="I23" s="85">
        <v>0.3</v>
      </c>
      <c r="J23" s="85">
        <v>1028</v>
      </c>
      <c r="K23" s="85" t="s">
        <v>319</v>
      </c>
      <c r="L23" s="145">
        <v>0.52400000000000002</v>
      </c>
      <c r="M23" s="85">
        <v>3.9038000000000004</v>
      </c>
      <c r="N23" s="85">
        <f t="shared" si="1"/>
        <v>3.9096403743699368</v>
      </c>
    </row>
    <row r="24" spans="1:16" hidden="1" x14ac:dyDescent="0.2">
      <c r="A24" t="s">
        <v>364</v>
      </c>
      <c r="B24" s="85" t="s">
        <v>234</v>
      </c>
      <c r="C24" s="85">
        <v>208</v>
      </c>
      <c r="D24" s="85">
        <v>187329.6</v>
      </c>
      <c r="E24" s="85">
        <v>0.3</v>
      </c>
      <c r="F24" s="85">
        <v>10.050000000000001</v>
      </c>
      <c r="G24" s="85">
        <v>2.9000000000000001E-2</v>
      </c>
      <c r="H24" s="85" t="s">
        <v>357</v>
      </c>
      <c r="I24" s="85">
        <v>0.3</v>
      </c>
      <c r="J24" s="85">
        <v>1028</v>
      </c>
      <c r="K24" s="85" t="s">
        <v>319</v>
      </c>
      <c r="L24" s="145">
        <v>0.52400000000000002</v>
      </c>
      <c r="M24" s="85">
        <v>5.2662000000000004</v>
      </c>
      <c r="N24" s="85">
        <f t="shared" si="1"/>
        <v>5.2630717561724323</v>
      </c>
    </row>
    <row r="25" spans="1:16" x14ac:dyDescent="0.2">
      <c r="A25" t="s">
        <v>235</v>
      </c>
      <c r="B25" s="85" t="s">
        <v>234</v>
      </c>
      <c r="C25" s="85">
        <v>208</v>
      </c>
      <c r="D25" s="85">
        <v>3601.8</v>
      </c>
      <c r="E25" s="85">
        <v>1.8</v>
      </c>
      <c r="F25" s="85">
        <v>0.14000000000000001</v>
      </c>
      <c r="G25" s="85">
        <v>3.0000000000000001E-3</v>
      </c>
      <c r="H25" s="85" t="s">
        <v>357</v>
      </c>
      <c r="I25" s="85">
        <v>2.5</v>
      </c>
      <c r="J25" s="85">
        <v>1028</v>
      </c>
      <c r="K25" s="85" t="s">
        <v>319</v>
      </c>
      <c r="L25" s="145">
        <v>0.52400000000000002</v>
      </c>
      <c r="M25" s="85">
        <v>7.3360000000000009E-2</v>
      </c>
      <c r="N25" s="85">
        <f t="shared" si="1"/>
        <v>7.2417364343189405E-2</v>
      </c>
    </row>
    <row r="26" spans="1:16" x14ac:dyDescent="0.2">
      <c r="A26" t="s">
        <v>236</v>
      </c>
      <c r="B26" s="85" t="s">
        <v>234</v>
      </c>
      <c r="C26" s="85">
        <v>208</v>
      </c>
      <c r="D26" s="85">
        <v>2988.6</v>
      </c>
      <c r="E26" s="85">
        <v>1</v>
      </c>
      <c r="F26" s="85">
        <v>0.11</v>
      </c>
      <c r="G26" s="85">
        <v>2E-3</v>
      </c>
      <c r="H26" s="85" t="s">
        <v>357</v>
      </c>
      <c r="I26" s="85">
        <v>1.5</v>
      </c>
      <c r="J26" s="85">
        <v>1028</v>
      </c>
      <c r="K26" s="85" t="s">
        <v>319</v>
      </c>
      <c r="L26" s="145">
        <v>0.52400000000000002</v>
      </c>
      <c r="M26" s="85">
        <v>5.7640000000000004E-2</v>
      </c>
      <c r="N26" s="85">
        <f t="shared" si="1"/>
        <v>5.509331608772837E-2</v>
      </c>
    </row>
    <row r="27" spans="1:16" x14ac:dyDescent="0.2">
      <c r="A27" t="s">
        <v>237</v>
      </c>
      <c r="B27" s="85" t="s">
        <v>234</v>
      </c>
      <c r="C27" s="85">
        <v>208</v>
      </c>
      <c r="D27" s="85">
        <v>5574.4</v>
      </c>
      <c r="E27" s="85">
        <v>1.9</v>
      </c>
      <c r="F27" s="85">
        <v>0.25</v>
      </c>
      <c r="G27" s="85">
        <v>6.0000000000000001E-3</v>
      </c>
      <c r="H27" s="85" t="s">
        <v>357</v>
      </c>
      <c r="I27" s="85">
        <v>2.4</v>
      </c>
      <c r="J27" s="85">
        <v>1028</v>
      </c>
      <c r="K27" s="85" t="s">
        <v>319</v>
      </c>
      <c r="L27" s="145">
        <v>0.52400000000000002</v>
      </c>
      <c r="M27" s="85">
        <v>0.13100000000000001</v>
      </c>
      <c r="N27" s="85">
        <f t="shared" si="1"/>
        <v>0.12814700816041444</v>
      </c>
    </row>
    <row r="28" spans="1:16" x14ac:dyDescent="0.2">
      <c r="A28" t="s">
        <v>238</v>
      </c>
      <c r="B28" s="85" t="s">
        <v>234</v>
      </c>
      <c r="C28" s="85">
        <v>208</v>
      </c>
      <c r="D28" s="85">
        <v>6442.1</v>
      </c>
      <c r="E28" s="85">
        <v>1.9</v>
      </c>
      <c r="F28" s="85">
        <v>0.28999999999999998</v>
      </c>
      <c r="G28" s="85">
        <v>6.0000000000000001E-3</v>
      </c>
      <c r="H28" s="85" t="s">
        <v>357</v>
      </c>
      <c r="I28" s="85">
        <v>2.2000000000000002</v>
      </c>
      <c r="J28" s="85">
        <v>1028</v>
      </c>
      <c r="K28" s="85" t="s">
        <v>319</v>
      </c>
      <c r="L28" s="145">
        <v>0.52400000000000002</v>
      </c>
      <c r="M28" s="85">
        <v>0.15195999999999998</v>
      </c>
      <c r="N28" s="85">
        <f t="shared" si="1"/>
        <v>0.15266115798308819</v>
      </c>
    </row>
    <row r="29" spans="1:16" x14ac:dyDescent="0.2">
      <c r="A29" t="s">
        <v>239</v>
      </c>
      <c r="B29" s="85" t="s">
        <v>234</v>
      </c>
      <c r="C29" s="85">
        <v>208</v>
      </c>
      <c r="D29" s="85">
        <v>1304.7</v>
      </c>
      <c r="E29" s="85">
        <v>2.8</v>
      </c>
      <c r="F29" s="85">
        <v>0.01</v>
      </c>
      <c r="G29" s="85">
        <v>2E-3</v>
      </c>
      <c r="H29" s="85" t="s">
        <v>357</v>
      </c>
      <c r="I29" s="85">
        <v>13.3</v>
      </c>
      <c r="J29" s="85">
        <v>1028</v>
      </c>
      <c r="K29" s="85" t="s">
        <v>319</v>
      </c>
      <c r="L29" s="145">
        <v>0.52400000000000002</v>
      </c>
      <c r="M29" s="85">
        <v>5.2400000000000007E-3</v>
      </c>
      <c r="N29" s="85">
        <f t="shared" si="1"/>
        <v>7.5199878793610992E-3</v>
      </c>
    </row>
    <row r="30" spans="1:16" hidden="1" x14ac:dyDescent="0.2">
      <c r="A30" t="s">
        <v>391</v>
      </c>
      <c r="B30" s="85" t="s">
        <v>234</v>
      </c>
      <c r="C30" s="85">
        <v>208</v>
      </c>
      <c r="D30" s="85">
        <v>139092.9</v>
      </c>
      <c r="E30" s="85">
        <v>0.7</v>
      </c>
      <c r="F30" s="85">
        <v>7.45</v>
      </c>
      <c r="G30" s="85">
        <v>5.5E-2</v>
      </c>
      <c r="H30" s="85" t="s">
        <v>357</v>
      </c>
      <c r="I30" s="85">
        <v>0.7</v>
      </c>
      <c r="J30" s="85">
        <v>1028</v>
      </c>
      <c r="K30" s="85" t="s">
        <v>319</v>
      </c>
      <c r="L30" s="145">
        <v>0.52400000000000002</v>
      </c>
      <c r="M30" s="85">
        <v>3.9038000000000004</v>
      </c>
      <c r="N30" s="85">
        <f t="shared" si="1"/>
        <v>3.9002946549261877</v>
      </c>
    </row>
    <row r="31" spans="1:16" x14ac:dyDescent="0.2">
      <c r="A31" t="s">
        <v>240</v>
      </c>
      <c r="B31" s="85" t="s">
        <v>234</v>
      </c>
      <c r="C31" s="85">
        <v>208</v>
      </c>
      <c r="D31" s="85">
        <v>1368.4</v>
      </c>
      <c r="E31" s="85">
        <v>7.6</v>
      </c>
      <c r="F31" s="85">
        <v>0.02</v>
      </c>
      <c r="G31" s="85">
        <v>6.0000000000000001E-3</v>
      </c>
      <c r="H31" s="85" t="s">
        <v>357</v>
      </c>
      <c r="I31" s="85">
        <v>30.5</v>
      </c>
      <c r="J31" s="85">
        <v>1028</v>
      </c>
      <c r="K31" s="85" t="s">
        <v>319</v>
      </c>
      <c r="L31" s="145">
        <v>0.52400000000000002</v>
      </c>
      <c r="M31" s="85">
        <v>1.0480000000000001E-2</v>
      </c>
      <c r="N31" s="85">
        <f t="shared" si="1"/>
        <v>9.3196321616064812E-3</v>
      </c>
    </row>
    <row r="32" spans="1:16" x14ac:dyDescent="0.2">
      <c r="A32" t="s">
        <v>241</v>
      </c>
      <c r="B32" s="85" t="s">
        <v>234</v>
      </c>
      <c r="C32" s="85">
        <v>208</v>
      </c>
      <c r="D32" s="85">
        <v>3127</v>
      </c>
      <c r="E32" s="85">
        <v>2.2999999999999998</v>
      </c>
      <c r="F32" s="85">
        <v>0.11</v>
      </c>
      <c r="G32" s="85">
        <v>4.0000000000000001E-3</v>
      </c>
      <c r="H32" s="85" t="s">
        <v>357</v>
      </c>
      <c r="I32" s="85">
        <v>3.5</v>
      </c>
      <c r="J32" s="85">
        <v>1028</v>
      </c>
      <c r="K32" s="85" t="s">
        <v>319</v>
      </c>
      <c r="L32" s="145">
        <v>0.52400000000000002</v>
      </c>
      <c r="M32" s="85">
        <v>5.7640000000000004E-2</v>
      </c>
      <c r="N32" s="85">
        <f t="shared" si="1"/>
        <v>5.9003375250409072E-2</v>
      </c>
    </row>
    <row r="33" spans="1:16" x14ac:dyDescent="0.2">
      <c r="A33" t="s">
        <v>242</v>
      </c>
      <c r="B33" s="85" t="s">
        <v>234</v>
      </c>
      <c r="C33" s="85">
        <v>208</v>
      </c>
      <c r="D33" s="85">
        <v>3064.7</v>
      </c>
      <c r="E33" s="85">
        <v>1.5</v>
      </c>
      <c r="F33" s="85">
        <v>0.11</v>
      </c>
      <c r="G33" s="85">
        <v>2E-3</v>
      </c>
      <c r="H33" s="85" t="s">
        <v>357</v>
      </c>
      <c r="I33" s="85">
        <v>2.2000000000000002</v>
      </c>
      <c r="J33" s="85">
        <v>1028</v>
      </c>
      <c r="K33" s="85" t="s">
        <v>319</v>
      </c>
      <c r="L33" s="145">
        <v>0.52400000000000002</v>
      </c>
      <c r="M33" s="85">
        <v>5.7640000000000004E-2</v>
      </c>
      <c r="N33" s="85">
        <f t="shared" si="1"/>
        <v>5.7243283589751497E-2</v>
      </c>
    </row>
    <row r="34" spans="1:16" x14ac:dyDescent="0.2">
      <c r="A34" t="s">
        <v>243</v>
      </c>
      <c r="B34" s="85" t="s">
        <v>234</v>
      </c>
      <c r="C34" s="85">
        <v>208</v>
      </c>
      <c r="D34" s="85">
        <v>1064.7</v>
      </c>
      <c r="E34" s="85">
        <v>1.7</v>
      </c>
      <c r="F34" s="85">
        <v>0</v>
      </c>
      <c r="G34" s="85">
        <v>1E-3</v>
      </c>
      <c r="H34" s="85" t="s">
        <v>357</v>
      </c>
      <c r="I34" s="85">
        <v>49.7</v>
      </c>
      <c r="J34" s="85">
        <v>1028</v>
      </c>
      <c r="K34" s="85" t="s">
        <v>319</v>
      </c>
      <c r="L34" s="145">
        <v>0.52400000000000002</v>
      </c>
      <c r="M34" s="85">
        <v>0</v>
      </c>
      <c r="N34" s="85">
        <f t="shared" si="1"/>
        <v>7.3953846430786189E-4</v>
      </c>
    </row>
    <row r="35" spans="1:16" x14ac:dyDescent="0.2">
      <c r="A35" t="s">
        <v>244</v>
      </c>
      <c r="B35" s="85" t="s">
        <v>234</v>
      </c>
      <c r="C35" s="85">
        <v>208</v>
      </c>
      <c r="D35" s="85">
        <v>1125.7</v>
      </c>
      <c r="E35" s="85">
        <v>2.1</v>
      </c>
      <c r="F35" s="85">
        <v>0.01</v>
      </c>
      <c r="G35" s="85">
        <v>1E-3</v>
      </c>
      <c r="H35" s="85" t="s">
        <v>357</v>
      </c>
      <c r="I35" s="85">
        <v>24.2</v>
      </c>
      <c r="J35" s="85">
        <v>1028</v>
      </c>
      <c r="K35" s="85" t="s">
        <v>319</v>
      </c>
      <c r="L35" s="145">
        <v>0.52400000000000002</v>
      </c>
      <c r="M35" s="85">
        <v>5.2400000000000007E-3</v>
      </c>
      <c r="N35" s="85">
        <f t="shared" si="1"/>
        <v>2.4629026906338928E-3</v>
      </c>
    </row>
    <row r="36" spans="1:16" x14ac:dyDescent="0.2">
      <c r="A36" t="s">
        <v>245</v>
      </c>
      <c r="B36" s="85" t="s">
        <v>234</v>
      </c>
      <c r="C36" s="85">
        <v>208</v>
      </c>
      <c r="D36" s="85">
        <v>1961.1</v>
      </c>
      <c r="E36" s="85">
        <v>2.5</v>
      </c>
      <c r="F36" s="85">
        <v>0.05</v>
      </c>
      <c r="G36" s="85">
        <v>3.0000000000000001E-3</v>
      </c>
      <c r="H36" s="85" t="s">
        <v>357</v>
      </c>
      <c r="I36" s="85">
        <v>5.2</v>
      </c>
      <c r="J36" s="85">
        <v>1028</v>
      </c>
      <c r="K36" s="85" t="s">
        <v>319</v>
      </c>
      <c r="L36" s="145">
        <v>0.52400000000000002</v>
      </c>
      <c r="M36" s="85">
        <v>2.6200000000000001E-2</v>
      </c>
      <c r="N36" s="85">
        <f t="shared" si="1"/>
        <v>2.6064517029531699E-2</v>
      </c>
    </row>
    <row r="37" spans="1:16" hidden="1" x14ac:dyDescent="0.2">
      <c r="A37" t="s">
        <v>106</v>
      </c>
      <c r="B37" s="85" t="s">
        <v>234</v>
      </c>
      <c r="C37" s="85">
        <v>208</v>
      </c>
      <c r="D37" s="85">
        <v>990.4</v>
      </c>
      <c r="E37" s="85">
        <v>3.5</v>
      </c>
      <c r="F37" s="85">
        <v>0</v>
      </c>
      <c r="G37" s="85">
        <v>2E-3</v>
      </c>
      <c r="H37" s="85" t="s">
        <v>357</v>
      </c>
      <c r="I37" s="85">
        <v>91.7</v>
      </c>
      <c r="J37" s="85">
        <v>1028</v>
      </c>
      <c r="K37" s="85" t="s">
        <v>319</v>
      </c>
      <c r="L37" s="145">
        <v>0.52400000000000002</v>
      </c>
      <c r="M37" s="85">
        <v>0</v>
      </c>
      <c r="N37" s="85">
        <f t="shared" si="1"/>
        <v>-1.3595756671023714E-3</v>
      </c>
    </row>
    <row r="38" spans="1:16" hidden="1" x14ac:dyDescent="0.2">
      <c r="A38" t="s">
        <v>107</v>
      </c>
      <c r="B38" s="85" t="s">
        <v>234</v>
      </c>
      <c r="C38" s="85">
        <v>208</v>
      </c>
      <c r="D38" s="85">
        <v>907.4</v>
      </c>
      <c r="E38" s="85">
        <v>1.5</v>
      </c>
      <c r="F38" s="85">
        <v>-0.01</v>
      </c>
      <c r="G38" s="85">
        <v>1E-3</v>
      </c>
      <c r="H38" s="85" t="s">
        <v>357</v>
      </c>
      <c r="I38" s="85">
        <v>10.9</v>
      </c>
      <c r="J38" s="85">
        <v>1028</v>
      </c>
      <c r="K38" s="85" t="s">
        <v>319</v>
      </c>
      <c r="L38" s="145">
        <v>0.52400000000000002</v>
      </c>
      <c r="M38" s="85">
        <v>-5.2400000000000007E-3</v>
      </c>
      <c r="N38" s="85">
        <f t="shared" si="1"/>
        <v>-3.7044810898082827E-3</v>
      </c>
    </row>
    <row r="39" spans="1:16" hidden="1" x14ac:dyDescent="0.2">
      <c r="A39" t="s">
        <v>108</v>
      </c>
      <c r="B39" s="85" t="s">
        <v>234</v>
      </c>
      <c r="C39" s="85">
        <v>208</v>
      </c>
      <c r="D39" s="85">
        <v>944</v>
      </c>
      <c r="E39" s="85">
        <v>2.1</v>
      </c>
      <c r="F39" s="85">
        <v>0</v>
      </c>
      <c r="G39" s="85">
        <v>1E-3</v>
      </c>
      <c r="H39" s="85" t="s">
        <v>357</v>
      </c>
      <c r="I39" s="85">
        <v>23.8</v>
      </c>
      <c r="J39" s="85">
        <v>1028</v>
      </c>
      <c r="K39" s="85" t="s">
        <v>319</v>
      </c>
      <c r="L39" s="145">
        <v>0.52400000000000002</v>
      </c>
      <c r="M39" s="85">
        <v>0</v>
      </c>
      <c r="N39" s="85">
        <f t="shared" si="1"/>
        <v>-2.6704625540126632E-3</v>
      </c>
    </row>
    <row r="40" spans="1:16" hidden="1" x14ac:dyDescent="0.2">
      <c r="A40" t="s">
        <v>248</v>
      </c>
      <c r="B40" s="85" t="s">
        <v>234</v>
      </c>
      <c r="C40" s="85">
        <v>208</v>
      </c>
      <c r="D40" s="85">
        <v>916.7</v>
      </c>
      <c r="E40" s="85">
        <v>5.9</v>
      </c>
      <c r="F40" s="85">
        <v>-0.01</v>
      </c>
      <c r="G40" s="85">
        <v>3.0000000000000001E-3</v>
      </c>
      <c r="H40" s="85" t="s">
        <v>357</v>
      </c>
      <c r="I40" s="85">
        <v>48.5</v>
      </c>
      <c r="J40" s="85">
        <v>1028</v>
      </c>
      <c r="K40" s="85" t="s">
        <v>319</v>
      </c>
      <c r="L40" s="145">
        <v>0.52400000000000002</v>
      </c>
      <c r="M40" s="85">
        <v>-5.2400000000000007E-3</v>
      </c>
      <c r="N40" s="85">
        <f t="shared" si="1"/>
        <v>-3.4417386749749676E-3</v>
      </c>
    </row>
    <row r="41" spans="1:16" hidden="1" x14ac:dyDescent="0.2">
      <c r="A41" t="s">
        <v>249</v>
      </c>
      <c r="B41" s="85" t="s">
        <v>234</v>
      </c>
      <c r="C41" s="85">
        <v>208</v>
      </c>
      <c r="D41" s="85">
        <v>935.7</v>
      </c>
      <c r="E41" s="85">
        <v>1.6</v>
      </c>
      <c r="F41" s="85">
        <v>0</v>
      </c>
      <c r="G41" s="85">
        <v>1E-3</v>
      </c>
      <c r="H41" s="85" t="s">
        <v>357</v>
      </c>
      <c r="I41" s="85">
        <v>15.9</v>
      </c>
      <c r="J41" s="85">
        <v>1028</v>
      </c>
      <c r="K41" s="85" t="s">
        <v>319</v>
      </c>
      <c r="L41" s="145">
        <v>0.52400000000000002</v>
      </c>
      <c r="M41" s="85">
        <v>0</v>
      </c>
      <c r="N41" s="85">
        <f t="shared" si="1"/>
        <v>-2.9049530962832531E-3</v>
      </c>
    </row>
    <row r="42" spans="1:16" hidden="1" x14ac:dyDescent="0.2">
      <c r="A42" t="s">
        <v>250</v>
      </c>
      <c r="B42" s="85" t="s">
        <v>234</v>
      </c>
      <c r="C42" s="85">
        <v>208</v>
      </c>
      <c r="D42" s="85">
        <v>927.4</v>
      </c>
      <c r="E42" s="85">
        <v>4.2</v>
      </c>
      <c r="F42" s="85">
        <v>-0.01</v>
      </c>
      <c r="G42" s="85">
        <v>2E-3</v>
      </c>
      <c r="H42" s="85" t="s">
        <v>357</v>
      </c>
      <c r="I42" s="85">
        <v>38.299999999999997</v>
      </c>
      <c r="J42" s="85">
        <v>1028</v>
      </c>
      <c r="K42" s="85" t="s">
        <v>319</v>
      </c>
      <c r="L42" s="145">
        <v>0.52400000000000002</v>
      </c>
      <c r="M42" s="85">
        <v>-5.2400000000000007E-3</v>
      </c>
      <c r="N42" s="85">
        <f t="shared" si="1"/>
        <v>-3.1394436385538461E-3</v>
      </c>
    </row>
    <row r="43" spans="1:16" hidden="1" x14ac:dyDescent="0.2">
      <c r="A43" t="s">
        <v>251</v>
      </c>
      <c r="B43" s="85" t="s">
        <v>234</v>
      </c>
      <c r="C43" s="85">
        <v>208</v>
      </c>
      <c r="D43" s="85">
        <v>963.7</v>
      </c>
      <c r="E43" s="85">
        <v>1.6</v>
      </c>
      <c r="F43" s="85">
        <v>0</v>
      </c>
      <c r="G43" s="85">
        <v>1E-3</v>
      </c>
      <c r="H43" s="85" t="s">
        <v>357</v>
      </c>
      <c r="I43" s="85">
        <v>24.1</v>
      </c>
      <c r="J43" s="85">
        <v>1028</v>
      </c>
      <c r="K43" s="85" t="s">
        <v>319</v>
      </c>
      <c r="L43" s="145">
        <v>0.52400000000000002</v>
      </c>
      <c r="M43" s="85">
        <v>0</v>
      </c>
      <c r="N43" s="85">
        <f t="shared" si="1"/>
        <v>-2.1139006645270421E-3</v>
      </c>
    </row>
    <row r="44" spans="1:16" hidden="1" x14ac:dyDescent="0.2">
      <c r="A44" t="s">
        <v>340</v>
      </c>
      <c r="B44" s="85" t="s">
        <v>234</v>
      </c>
      <c r="C44" s="85">
        <v>208</v>
      </c>
      <c r="D44" s="85">
        <v>954.4</v>
      </c>
      <c r="E44" s="85">
        <v>2</v>
      </c>
      <c r="F44" s="85"/>
      <c r="G44" s="85"/>
      <c r="H44" s="85" t="s">
        <v>357</v>
      </c>
      <c r="I44" s="85"/>
      <c r="J44" s="85"/>
      <c r="K44" s="85" t="s">
        <v>319</v>
      </c>
      <c r="L44" s="145">
        <v>0.52400000000000002</v>
      </c>
      <c r="M44" s="85">
        <v>0</v>
      </c>
      <c r="N44" s="85">
        <f t="shared" si="1"/>
        <v>-2.3766430793603567E-3</v>
      </c>
    </row>
    <row r="45" spans="1:16" hidden="1" x14ac:dyDescent="0.2">
      <c r="A45" t="s">
        <v>358</v>
      </c>
      <c r="B45" s="85" t="s">
        <v>234</v>
      </c>
      <c r="C45" s="85">
        <v>208</v>
      </c>
      <c r="D45" s="85">
        <v>45327.1</v>
      </c>
      <c r="E45" s="85">
        <v>0.3</v>
      </c>
      <c r="F45" s="85">
        <v>2.4</v>
      </c>
      <c r="G45" s="85">
        <v>8.0000000000000002E-3</v>
      </c>
      <c r="H45" s="85" t="s">
        <v>357</v>
      </c>
      <c r="I45" s="85">
        <v>0.3</v>
      </c>
      <c r="J45" s="85">
        <v>954</v>
      </c>
      <c r="K45" s="85" t="s">
        <v>319</v>
      </c>
      <c r="L45" s="145">
        <v>0.52400000000000002</v>
      </c>
      <c r="M45" s="85">
        <v>1.2576000000000001</v>
      </c>
      <c r="N45" s="85">
        <f>(D45-$P$46)/$P$45</f>
        <v>1.2589819486283353</v>
      </c>
      <c r="O45" s="85" t="s">
        <v>425</v>
      </c>
      <c r="P45" s="85">
        <f>SLOPE(D45:D49,M45:M49)</f>
        <v>34513.069731152413</v>
      </c>
    </row>
    <row r="46" spans="1:16" hidden="1" x14ac:dyDescent="0.2">
      <c r="A46" t="s">
        <v>360</v>
      </c>
      <c r="B46" s="85" t="s">
        <v>234</v>
      </c>
      <c r="C46" s="85">
        <v>208</v>
      </c>
      <c r="D46" s="85">
        <v>92347.199999999997</v>
      </c>
      <c r="E46" s="85">
        <v>0.5</v>
      </c>
      <c r="F46" s="85">
        <v>4.9400000000000004</v>
      </c>
      <c r="G46" s="85">
        <v>2.5999999999999999E-2</v>
      </c>
      <c r="H46" s="85" t="s">
        <v>357</v>
      </c>
      <c r="I46" s="85">
        <v>0.5</v>
      </c>
      <c r="J46" s="85">
        <v>954</v>
      </c>
      <c r="K46" s="85" t="s">
        <v>319</v>
      </c>
      <c r="L46" s="145">
        <v>0.52400000000000002</v>
      </c>
      <c r="M46" s="85">
        <v>2.5885600000000002</v>
      </c>
      <c r="N46" s="85">
        <f t="shared" ref="N46:N54" si="2">(D46-$P$46)/$P$45</f>
        <v>2.621367281670977</v>
      </c>
      <c r="O46" s="85" t="s">
        <v>426</v>
      </c>
      <c r="P46" s="85">
        <f>INTERCEPT(D45:D49,M45:M49)</f>
        <v>1875.7682167281164</v>
      </c>
    </row>
    <row r="47" spans="1:16" hidden="1" x14ac:dyDescent="0.2">
      <c r="A47" t="s">
        <v>362</v>
      </c>
      <c r="B47" s="85" t="s">
        <v>234</v>
      </c>
      <c r="C47" s="85">
        <v>208</v>
      </c>
      <c r="D47" s="85">
        <v>136686.1</v>
      </c>
      <c r="E47" s="85">
        <v>0.1</v>
      </c>
      <c r="F47" s="85">
        <v>7.38</v>
      </c>
      <c r="G47" s="85">
        <v>5.0000000000000001E-3</v>
      </c>
      <c r="H47" s="85" t="s">
        <v>357</v>
      </c>
      <c r="I47" s="85">
        <v>0.1</v>
      </c>
      <c r="J47" s="85">
        <v>954</v>
      </c>
      <c r="K47" s="85" t="s">
        <v>319</v>
      </c>
      <c r="L47" s="145">
        <v>0.52400000000000002</v>
      </c>
      <c r="M47" s="85">
        <v>3.8671199999999999</v>
      </c>
      <c r="N47" s="85">
        <f t="shared" si="2"/>
        <v>3.9060661028824248</v>
      </c>
      <c r="O47" s="85" t="s">
        <v>427</v>
      </c>
      <c r="P47" s="85">
        <f>CORREL(D45:D49,M45:M49)</f>
        <v>0.99983912743015424</v>
      </c>
    </row>
    <row r="48" spans="1:16" hidden="1" x14ac:dyDescent="0.2">
      <c r="A48" t="s">
        <v>364</v>
      </c>
      <c r="B48" s="85" t="s">
        <v>234</v>
      </c>
      <c r="C48" s="85">
        <v>208</v>
      </c>
      <c r="D48" s="85">
        <v>180070.8</v>
      </c>
      <c r="E48" s="85">
        <v>0.2</v>
      </c>
      <c r="F48" s="85">
        <v>9.94</v>
      </c>
      <c r="G48" s="85">
        <v>1.9E-2</v>
      </c>
      <c r="H48" s="85" t="s">
        <v>357</v>
      </c>
      <c r="I48" s="85">
        <v>0.2</v>
      </c>
      <c r="J48" s="85">
        <v>954</v>
      </c>
      <c r="K48" s="85" t="s">
        <v>319</v>
      </c>
      <c r="L48" s="145">
        <v>0.52400000000000002</v>
      </c>
      <c r="M48" s="85">
        <v>5.2085600000000003</v>
      </c>
      <c r="N48" s="85">
        <f t="shared" si="2"/>
        <v>5.1631174268578119</v>
      </c>
    </row>
    <row r="49" spans="1:14" hidden="1" x14ac:dyDescent="0.2">
      <c r="A49" t="s">
        <v>411</v>
      </c>
      <c r="B49" s="85" t="s">
        <v>234</v>
      </c>
      <c r="C49" s="85">
        <v>208</v>
      </c>
      <c r="D49" s="85">
        <v>1643.4</v>
      </c>
      <c r="E49" s="85">
        <v>5.7</v>
      </c>
      <c r="F49" s="85">
        <v>0.04</v>
      </c>
      <c r="G49" s="85">
        <v>5.0000000000000001E-3</v>
      </c>
      <c r="H49" s="85" t="s">
        <v>357</v>
      </c>
      <c r="I49" s="85">
        <v>13.5</v>
      </c>
      <c r="J49" s="85">
        <v>954</v>
      </c>
      <c r="K49" s="85" t="s">
        <v>319</v>
      </c>
      <c r="L49" s="145">
        <v>0.52400000000000002</v>
      </c>
      <c r="M49" s="85">
        <v>2.0960000000000003E-2</v>
      </c>
      <c r="N49" s="85">
        <f t="shared" si="2"/>
        <v>-6.7327600395503092E-3</v>
      </c>
    </row>
    <row r="50" spans="1:14" hidden="1" x14ac:dyDescent="0.2">
      <c r="A50" t="s">
        <v>413</v>
      </c>
      <c r="B50" s="85" t="s">
        <v>234</v>
      </c>
      <c r="C50" s="85">
        <v>208</v>
      </c>
      <c r="D50" s="85">
        <v>6488.1</v>
      </c>
      <c r="E50" s="85">
        <v>2.7</v>
      </c>
      <c r="F50" s="85">
        <v>0.31</v>
      </c>
      <c r="G50" s="85">
        <v>0.01</v>
      </c>
      <c r="H50" s="85" t="s">
        <v>357</v>
      </c>
      <c r="I50" s="85">
        <v>3.2</v>
      </c>
      <c r="J50" s="85">
        <v>954</v>
      </c>
      <c r="K50" s="85" t="s">
        <v>319</v>
      </c>
      <c r="L50" s="145">
        <v>0.52400000000000002</v>
      </c>
      <c r="M50" s="85">
        <v>0.16244</v>
      </c>
      <c r="N50" s="85">
        <f t="shared" si="2"/>
        <v>0.13364014905659555</v>
      </c>
    </row>
    <row r="51" spans="1:14" hidden="1" x14ac:dyDescent="0.2">
      <c r="A51" t="s">
        <v>415</v>
      </c>
      <c r="B51" s="85" t="s">
        <v>234</v>
      </c>
      <c r="C51" s="85">
        <v>208</v>
      </c>
      <c r="D51" s="85">
        <v>4319</v>
      </c>
      <c r="E51" s="85">
        <v>0.3</v>
      </c>
      <c r="F51" s="85">
        <v>0.19</v>
      </c>
      <c r="G51" s="85">
        <v>1E-3</v>
      </c>
      <c r="H51" s="85" t="s">
        <v>357</v>
      </c>
      <c r="I51" s="85">
        <v>0.4</v>
      </c>
      <c r="J51" s="85">
        <v>954</v>
      </c>
      <c r="K51" s="85" t="s">
        <v>319</v>
      </c>
      <c r="L51" s="145">
        <v>0.52400000000000002</v>
      </c>
      <c r="M51" s="85">
        <v>9.956000000000001E-2</v>
      </c>
      <c r="N51" s="85">
        <f t="shared" si="2"/>
        <v>7.079149441947663E-2</v>
      </c>
    </row>
    <row r="52" spans="1:14" hidden="1" x14ac:dyDescent="0.2">
      <c r="A52" t="s">
        <v>417</v>
      </c>
      <c r="B52" s="85" t="s">
        <v>234</v>
      </c>
      <c r="C52" s="85">
        <v>208</v>
      </c>
      <c r="D52" s="85">
        <v>12635.3</v>
      </c>
      <c r="E52" s="85">
        <v>1.3</v>
      </c>
      <c r="F52" s="85">
        <v>0.65</v>
      </c>
      <c r="G52" s="85">
        <v>8.9999999999999993E-3</v>
      </c>
      <c r="H52" s="85" t="s">
        <v>357</v>
      </c>
      <c r="I52" s="85">
        <v>1.4</v>
      </c>
      <c r="J52" s="85">
        <v>954</v>
      </c>
      <c r="K52" s="85" t="s">
        <v>319</v>
      </c>
      <c r="L52" s="145">
        <v>0.52400000000000002</v>
      </c>
      <c r="M52" s="85">
        <v>0.34060000000000001</v>
      </c>
      <c r="N52" s="85">
        <f t="shared" si="2"/>
        <v>0.31175238444698661</v>
      </c>
    </row>
    <row r="53" spans="1:14" hidden="1" x14ac:dyDescent="0.2">
      <c r="A53" t="s">
        <v>419</v>
      </c>
      <c r="B53" s="85" t="s">
        <v>234</v>
      </c>
      <c r="C53" s="85">
        <v>208</v>
      </c>
      <c r="D53" s="85">
        <v>2612.6</v>
      </c>
      <c r="E53" s="85">
        <v>5.3</v>
      </c>
      <c r="F53" s="85">
        <v>0.09</v>
      </c>
      <c r="G53" s="85">
        <v>8.0000000000000002E-3</v>
      </c>
      <c r="H53" s="85" t="s">
        <v>357</v>
      </c>
      <c r="I53" s="85">
        <v>8.4</v>
      </c>
      <c r="J53" s="85">
        <v>954</v>
      </c>
      <c r="K53" s="85" t="s">
        <v>319</v>
      </c>
      <c r="L53" s="145">
        <v>0.52400000000000002</v>
      </c>
      <c r="M53" s="85">
        <v>4.7160000000000001E-2</v>
      </c>
      <c r="N53" s="85">
        <f t="shared" si="2"/>
        <v>2.134935515767233E-2</v>
      </c>
    </row>
    <row r="54" spans="1:14" hidden="1" x14ac:dyDescent="0.2">
      <c r="A54" t="s">
        <v>421</v>
      </c>
      <c r="B54" s="85" t="s">
        <v>234</v>
      </c>
      <c r="C54" s="85">
        <v>208</v>
      </c>
      <c r="D54" s="85">
        <v>2514.6</v>
      </c>
      <c r="E54" s="85">
        <v>1.9</v>
      </c>
      <c r="F54" s="85">
        <v>0.09</v>
      </c>
      <c r="G54" s="85">
        <v>3.0000000000000001E-3</v>
      </c>
      <c r="H54" s="85" t="s">
        <v>357</v>
      </c>
      <c r="I54" s="85">
        <v>3.1</v>
      </c>
      <c r="J54" s="85">
        <v>954</v>
      </c>
      <c r="K54" s="85" t="s">
        <v>319</v>
      </c>
      <c r="L54" s="145">
        <v>0.52400000000000002</v>
      </c>
      <c r="M54" s="85">
        <v>4.7160000000000001E-2</v>
      </c>
      <c r="N54" s="85">
        <f t="shared" si="2"/>
        <v>1.8509851144746393E-2</v>
      </c>
    </row>
  </sheetData>
  <autoFilter ref="A1:P54">
    <filterColumn colId="0">
      <customFilters>
        <customFilter val="TDM*"/>
      </customFilters>
    </filterColumn>
  </autoFilter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31"/>
  <sheetViews>
    <sheetView topLeftCell="J58" zoomScale="85" zoomScaleNormal="85" workbookViewId="0">
      <pane ySplit="435" activePane="bottomLeft"/>
      <selection activeCell="AG49" sqref="AG49"/>
      <selection pane="bottomLeft" activeCell="I97" sqref="I97"/>
    </sheetView>
  </sheetViews>
  <sheetFormatPr defaultRowHeight="12.75" x14ac:dyDescent="0.2"/>
  <cols>
    <col min="1" max="1" width="12.85546875" customWidth="1"/>
  </cols>
  <sheetData>
    <row r="1" spans="1:27" s="16" customFormat="1" ht="18" x14ac:dyDescent="0.35">
      <c r="A1" s="30" t="s">
        <v>65</v>
      </c>
      <c r="B1" s="71" t="s">
        <v>441</v>
      </c>
      <c r="C1" s="75" t="s">
        <v>70</v>
      </c>
      <c r="D1" s="78" t="s">
        <v>104</v>
      </c>
      <c r="E1" s="81" t="s">
        <v>35</v>
      </c>
      <c r="F1" s="17" t="s">
        <v>36</v>
      </c>
      <c r="G1" s="17" t="s">
        <v>37</v>
      </c>
      <c r="H1" s="161" t="s">
        <v>29</v>
      </c>
      <c r="I1" s="152" t="s">
        <v>38</v>
      </c>
      <c r="J1" s="149" t="s">
        <v>39</v>
      </c>
      <c r="K1" s="149" t="s">
        <v>40</v>
      </c>
      <c r="L1" s="153" t="s">
        <v>41</v>
      </c>
      <c r="M1" s="152" t="s">
        <v>1</v>
      </c>
      <c r="N1" s="149" t="s">
        <v>2</v>
      </c>
      <c r="O1" s="149" t="s">
        <v>228</v>
      </c>
      <c r="P1" s="149" t="s">
        <v>227</v>
      </c>
      <c r="Q1" s="149" t="s">
        <v>229</v>
      </c>
      <c r="R1" s="149" t="s">
        <v>230</v>
      </c>
      <c r="S1" s="149" t="s">
        <v>232</v>
      </c>
      <c r="T1" s="149" t="s">
        <v>233</v>
      </c>
      <c r="U1" s="149" t="s">
        <v>234</v>
      </c>
      <c r="V1" s="152" t="s">
        <v>100</v>
      </c>
      <c r="W1" s="149" t="s">
        <v>101</v>
      </c>
      <c r="X1" s="149" t="s">
        <v>42</v>
      </c>
      <c r="Y1" s="149" t="s">
        <v>74</v>
      </c>
      <c r="Z1" s="64" t="s">
        <v>34</v>
      </c>
      <c r="AA1" s="64" t="s">
        <v>197</v>
      </c>
    </row>
    <row r="2" spans="1:27" s="85" customFormat="1" ht="12.75" customHeight="1" x14ac:dyDescent="0.25">
      <c r="A2" s="43" t="s">
        <v>166</v>
      </c>
      <c r="B2" s="72">
        <v>6.83</v>
      </c>
      <c r="C2" s="192">
        <v>241.77287581699343</v>
      </c>
      <c r="D2" s="79">
        <v>35.5</v>
      </c>
      <c r="E2" s="83">
        <v>20.9</v>
      </c>
      <c r="F2" s="49">
        <v>0.29099999999999998</v>
      </c>
      <c r="G2" s="49">
        <v>3.6999999999999998E-2</v>
      </c>
      <c r="H2" s="163">
        <v>6.6559999999999997</v>
      </c>
      <c r="I2" s="164">
        <v>6.0684677144444858</v>
      </c>
      <c r="J2" s="142">
        <v>0.54896043614077494</v>
      </c>
      <c r="K2" s="142">
        <v>1.6428362443451692</v>
      </c>
      <c r="L2" s="158">
        <v>0.47437609140344811</v>
      </c>
      <c r="M2" s="159">
        <v>8.7913269088213486</v>
      </c>
      <c r="N2" s="198">
        <v>5.8655206374787356</v>
      </c>
      <c r="O2" s="65">
        <v>0.67494266263788261</v>
      </c>
      <c r="P2" s="195">
        <v>9.4237837068549372E-3</v>
      </c>
      <c r="Q2" s="195">
        <v>1.4949800144777011E-2</v>
      </c>
      <c r="R2" s="195">
        <v>5.7815845824411134E-2</v>
      </c>
      <c r="S2" s="195">
        <v>1.7791853110460721E-4</v>
      </c>
      <c r="T2" s="195">
        <v>3.369556060988965E-4</v>
      </c>
      <c r="U2" s="195">
        <v>3.3201779114201591E-3</v>
      </c>
      <c r="V2" s="166">
        <v>2.9803990078934457</v>
      </c>
      <c r="W2" s="91">
        <v>1.3208637758539172</v>
      </c>
      <c r="X2" s="89">
        <v>2.6265348409241498</v>
      </c>
      <c r="Y2" s="90">
        <v>7.8331696803065107E-2</v>
      </c>
      <c r="Z2" s="36">
        <v>0.6516636752726761</v>
      </c>
      <c r="AA2" s="92">
        <v>3.928336324727324</v>
      </c>
    </row>
    <row r="3" spans="1:27" s="85" customFormat="1" ht="15.75" x14ac:dyDescent="0.25">
      <c r="A3" s="29" t="s">
        <v>170</v>
      </c>
      <c r="B3" s="73">
        <v>6.6</v>
      </c>
      <c r="C3" s="193">
        <v>346.51930261519306</v>
      </c>
      <c r="D3" s="80">
        <v>64</v>
      </c>
      <c r="E3" s="84">
        <v>21.4</v>
      </c>
      <c r="F3" s="68">
        <v>0.27500000000000002</v>
      </c>
      <c r="G3" s="68">
        <v>3.5000000000000003E-2</v>
      </c>
      <c r="H3" s="163">
        <v>6.5380000000000003</v>
      </c>
      <c r="I3" s="164">
        <v>8.4512658170551767</v>
      </c>
      <c r="J3" s="142">
        <v>0.89743638548216575</v>
      </c>
      <c r="K3" s="142">
        <v>2.6917224357684515</v>
      </c>
      <c r="L3" s="158">
        <v>0.60769756858625779</v>
      </c>
      <c r="M3" s="157">
        <v>7.3843587842846548</v>
      </c>
      <c r="N3" s="91">
        <v>5.2704807950577486</v>
      </c>
      <c r="O3" s="2">
        <v>0.33965561178055259</v>
      </c>
      <c r="P3" s="68">
        <v>1.0193072172720648E-2</v>
      </c>
      <c r="Q3" s="68">
        <v>1.7152928587165203E-2</v>
      </c>
      <c r="R3" s="68">
        <v>4.8944631385744883E-2</v>
      </c>
      <c r="S3" s="68">
        <v>8.8959265552303603E-5</v>
      </c>
      <c r="T3" s="68">
        <v>3.369556060988965E-4</v>
      </c>
      <c r="U3" s="68">
        <v>2.4431497838752116E-3</v>
      </c>
      <c r="V3" s="166">
        <v>4.7470767520003845</v>
      </c>
      <c r="W3" s="91">
        <v>1.4001543695492296</v>
      </c>
      <c r="X3" s="89">
        <v>3.7061480085695822</v>
      </c>
      <c r="Y3" s="90">
        <v>8.3136873949236023E-2</v>
      </c>
      <c r="Z3" s="188">
        <v>1.4278613834046656</v>
      </c>
      <c r="AA3" s="92">
        <v>5.2521386165953343</v>
      </c>
    </row>
    <row r="4" spans="1:27" s="85" customFormat="1" ht="15.75" x14ac:dyDescent="0.25">
      <c r="A4" s="29" t="s">
        <v>186</v>
      </c>
      <c r="B4" s="73">
        <v>6.68</v>
      </c>
      <c r="C4" s="193">
        <v>111.6865552903739</v>
      </c>
      <c r="D4" s="80">
        <v>19.899999999999999</v>
      </c>
      <c r="E4" s="84">
        <v>18</v>
      </c>
      <c r="F4" s="68">
        <v>0.16300000000000001</v>
      </c>
      <c r="G4" s="68">
        <v>1.7999999999999999E-2</v>
      </c>
      <c r="H4" s="163">
        <v>4.4489999999999998</v>
      </c>
      <c r="I4" s="164">
        <v>2.5902686975781251</v>
      </c>
      <c r="J4" s="150">
        <v>0.18869372880455609</v>
      </c>
      <c r="K4" s="142">
        <v>1.0203037935276513</v>
      </c>
      <c r="L4" s="158">
        <v>0.32467631637472705</v>
      </c>
      <c r="M4" s="157">
        <v>4.1823573017049664</v>
      </c>
      <c r="N4" s="91">
        <v>1.2609902408451965</v>
      </c>
      <c r="O4" s="2">
        <v>0.12013542538861989</v>
      </c>
      <c r="P4" s="68">
        <v>6.7312740763249548E-3</v>
      </c>
      <c r="Q4" s="68">
        <v>1.3533503288956032E-2</v>
      </c>
      <c r="R4" s="68">
        <v>6.1945549097583361E-2</v>
      </c>
      <c r="S4" s="68">
        <v>1.7791853110460721E-4</v>
      </c>
      <c r="T4" s="68">
        <v>2.5271670457417233E-4</v>
      </c>
      <c r="U4" s="68">
        <v>2.1299254526091584E-3</v>
      </c>
      <c r="V4" s="166">
        <v>2.0594255209594228</v>
      </c>
      <c r="W4" s="91">
        <v>1.2088644865528269</v>
      </c>
      <c r="X4" s="89">
        <v>1.6190733744024632</v>
      </c>
      <c r="Y4" s="90">
        <v>6.7682960121688604E-2</v>
      </c>
      <c r="Z4" s="189">
        <v>0.13419853651801641</v>
      </c>
      <c r="AA4" s="92">
        <v>0</v>
      </c>
    </row>
    <row r="5" spans="1:27" s="85" customFormat="1" ht="15.75" x14ac:dyDescent="0.25">
      <c r="A5" s="29" t="s">
        <v>173</v>
      </c>
      <c r="B5" s="73">
        <v>7.53</v>
      </c>
      <c r="C5" s="193">
        <v>142.38948626045399</v>
      </c>
      <c r="D5" s="80">
        <v>91.9</v>
      </c>
      <c r="E5" s="84">
        <v>21.1</v>
      </c>
      <c r="F5" s="68">
        <v>0.23100000000000001</v>
      </c>
      <c r="G5" s="68">
        <v>0.06</v>
      </c>
      <c r="H5" s="163">
        <v>4.6470000000000002</v>
      </c>
      <c r="I5" s="164">
        <v>9.3007893408476328</v>
      </c>
      <c r="J5" s="142">
        <v>1.8350339762777772</v>
      </c>
      <c r="K5" s="142">
        <v>12.312395482003362</v>
      </c>
      <c r="L5" s="158">
        <v>1.2256838518982534</v>
      </c>
      <c r="M5" s="157">
        <v>42.556338028169016</v>
      </c>
      <c r="N5" s="91">
        <v>18.229026770525561</v>
      </c>
      <c r="O5" s="2">
        <v>0.4341257417452401</v>
      </c>
      <c r="P5" s="68">
        <v>5.6542702241129623E-2</v>
      </c>
      <c r="Q5" s="68">
        <v>5.2402983665376261E-2</v>
      </c>
      <c r="R5" s="68">
        <v>0.15784643621902725</v>
      </c>
      <c r="S5" s="68">
        <v>3.5583706220921441E-4</v>
      </c>
      <c r="T5" s="68">
        <v>1.0108668182966893E-3</v>
      </c>
      <c r="U5" s="68">
        <v>1.6381632525214559E-2</v>
      </c>
      <c r="V5" s="166">
        <v>6.7702870251819514</v>
      </c>
      <c r="W5" s="91">
        <v>1.2459988572831171</v>
      </c>
      <c r="X5" s="89">
        <v>16.536657463256624</v>
      </c>
      <c r="Y5" s="90">
        <v>8.7030625812438964E-2</v>
      </c>
      <c r="Z5" s="33">
        <v>19.021676101063093</v>
      </c>
      <c r="AA5" s="92">
        <v>19.598323898936904</v>
      </c>
    </row>
    <row r="6" spans="1:27" s="85" customFormat="1" ht="15.75" x14ac:dyDescent="0.25">
      <c r="A6" s="29" t="s">
        <v>174</v>
      </c>
      <c r="B6" s="73">
        <v>7.38</v>
      </c>
      <c r="C6" s="193">
        <v>916.61165241598724</v>
      </c>
      <c r="D6" s="194">
        <v>219</v>
      </c>
      <c r="E6" s="84">
        <v>19.399999999999999</v>
      </c>
      <c r="F6" s="68">
        <v>0.22800000000000001</v>
      </c>
      <c r="G6" s="68">
        <v>0.28000000000000003</v>
      </c>
      <c r="H6" s="163">
        <v>6.9249999999999998</v>
      </c>
      <c r="I6" s="164">
        <v>25.035275101039684</v>
      </c>
      <c r="J6" s="142">
        <v>5.512700144520859</v>
      </c>
      <c r="K6" s="142">
        <v>21.030284120974741</v>
      </c>
      <c r="L6" s="158">
        <v>4.8838486549843863</v>
      </c>
      <c r="M6" s="157">
        <v>5.7679762787249818</v>
      </c>
      <c r="N6" s="91">
        <v>4.1287492165816095</v>
      </c>
      <c r="O6" s="2">
        <v>1.0564636499326512</v>
      </c>
      <c r="P6" s="68">
        <v>2.9425283819363376E-2</v>
      </c>
      <c r="Q6" s="68">
        <v>4.4849400434331041E-2</v>
      </c>
      <c r="R6" s="68">
        <v>1.4683389415723464E-2</v>
      </c>
      <c r="S6" s="68">
        <v>1.7791853110460721E-4</v>
      </c>
      <c r="T6" s="68">
        <v>2.5271670457417233E-4</v>
      </c>
      <c r="U6" s="68">
        <v>1.9106684207229217E-3</v>
      </c>
      <c r="V6" s="166">
        <v>13.423475196029724</v>
      </c>
      <c r="W6" s="91">
        <v>7.0080877433267297</v>
      </c>
      <c r="X6" s="89">
        <v>34.878012449587345</v>
      </c>
      <c r="Y6" s="90">
        <v>0.24589216917498447</v>
      </c>
      <c r="Z6" s="188">
        <v>5.3088499240646136</v>
      </c>
      <c r="AA6" s="92">
        <v>13.311150075935387</v>
      </c>
    </row>
    <row r="7" spans="1:27" s="85" customFormat="1" ht="15.75" x14ac:dyDescent="0.25">
      <c r="A7" s="29" t="s">
        <v>177</v>
      </c>
      <c r="B7" s="73">
        <v>7.45</v>
      </c>
      <c r="C7" s="193">
        <v>742.28915662650593</v>
      </c>
      <c r="D7" s="194">
        <v>198.8</v>
      </c>
      <c r="E7" s="84">
        <v>18.3</v>
      </c>
      <c r="F7" s="68">
        <v>0.38</v>
      </c>
      <c r="G7" s="68">
        <v>2.3E-2</v>
      </c>
      <c r="H7" s="163">
        <v>6.9669999999999996</v>
      </c>
      <c r="I7" s="164">
        <v>23.281723673743723</v>
      </c>
      <c r="J7" s="142">
        <v>3.573648037549602</v>
      </c>
      <c r="K7" s="142">
        <v>19.613084174847604</v>
      </c>
      <c r="L7" s="158">
        <v>3.0335469301519034</v>
      </c>
      <c r="M7" s="157">
        <v>3.3947368421052633</v>
      </c>
      <c r="N7" s="91">
        <v>2.7800161160354553</v>
      </c>
      <c r="O7" s="2">
        <v>0.20459426990425569</v>
      </c>
      <c r="P7" s="68">
        <v>3.0194572285229086E-2</v>
      </c>
      <c r="Q7" s="68">
        <v>4.2174173040002517E-2</v>
      </c>
      <c r="R7" s="68">
        <v>1.6977669011930256E-2</v>
      </c>
      <c r="S7" s="68">
        <v>8.8959265552303603E-5</v>
      </c>
      <c r="T7" s="68">
        <v>2.5271670457417233E-4</v>
      </c>
      <c r="U7" s="68">
        <v>1.7227338219632901E-3</v>
      </c>
      <c r="V7" s="166">
        <v>17.810515953086842</v>
      </c>
      <c r="W7" s="91">
        <v>4.2459928587512525</v>
      </c>
      <c r="X7" s="89">
        <v>31.254758924958139</v>
      </c>
      <c r="Y7" s="90">
        <v>0.15062531946865676</v>
      </c>
      <c r="Z7" s="188">
        <v>1.4278613834046656</v>
      </c>
      <c r="AA7" s="92">
        <v>3.3921386165953349</v>
      </c>
    </row>
    <row r="8" spans="1:27" s="85" customFormat="1" ht="15.75" x14ac:dyDescent="0.25">
      <c r="A8" s="29" t="s">
        <v>179</v>
      </c>
      <c r="B8" s="73">
        <v>7.4</v>
      </c>
      <c r="C8" s="193">
        <v>1074.1940625622635</v>
      </c>
      <c r="D8" s="194">
        <v>252</v>
      </c>
      <c r="E8" s="84">
        <v>20.6</v>
      </c>
      <c r="F8" s="68">
        <v>0.13700000000000001</v>
      </c>
      <c r="G8" s="68">
        <v>0</v>
      </c>
      <c r="H8" s="163">
        <v>5.3949999999999996</v>
      </c>
      <c r="I8" s="164">
        <v>28.177924713367048</v>
      </c>
      <c r="J8" s="142">
        <v>3.7610949525191009</v>
      </c>
      <c r="K8" s="142">
        <v>27.074719368361912</v>
      </c>
      <c r="L8" s="158">
        <v>3.9643325280655914</v>
      </c>
      <c r="M8" s="157">
        <v>1.8206078576723497</v>
      </c>
      <c r="N8" s="91">
        <v>2.0707314889426089</v>
      </c>
      <c r="O8" s="2">
        <v>0.7322800247551785</v>
      </c>
      <c r="P8" s="68">
        <v>2.5386519373568405E-2</v>
      </c>
      <c r="Q8" s="68">
        <v>3.1158530828061561E-2</v>
      </c>
      <c r="R8" s="68">
        <v>2.126032425818293E-2</v>
      </c>
      <c r="S8" s="68">
        <v>8.8959265552303603E-5</v>
      </c>
      <c r="T8" s="68">
        <v>2.5271670457417233E-4</v>
      </c>
      <c r="U8" s="68">
        <v>9.3967299379815836E-4</v>
      </c>
      <c r="V8" s="166">
        <v>21.297070438287882</v>
      </c>
      <c r="W8" s="91">
        <v>1.0257998756515128</v>
      </c>
      <c r="X8" s="89">
        <v>41.935394225127823</v>
      </c>
      <c r="Y8" s="90">
        <v>0.13893554180136009</v>
      </c>
      <c r="Z8" s="188">
        <v>7.1199779097059226</v>
      </c>
      <c r="AA8" s="92">
        <v>10.590022090294077</v>
      </c>
    </row>
    <row r="9" spans="1:27" s="85" customFormat="1" ht="15.75" x14ac:dyDescent="0.25">
      <c r="A9" s="29" t="s">
        <v>181</v>
      </c>
      <c r="B9" s="73">
        <v>6.25</v>
      </c>
      <c r="C9" s="193">
        <v>221.78162075206114</v>
      </c>
      <c r="D9" s="80">
        <v>58.1</v>
      </c>
      <c r="E9" s="84">
        <v>20.6</v>
      </c>
      <c r="F9" s="68">
        <v>0.33700000000000002</v>
      </c>
      <c r="G9" s="68">
        <v>4.3999999999999997E-2</v>
      </c>
      <c r="H9" s="163">
        <v>7.5890000000000004</v>
      </c>
      <c r="I9" s="164">
        <v>5.448273939247569</v>
      </c>
      <c r="J9" s="142">
        <v>0.78639222705961187</v>
      </c>
      <c r="K9" s="142">
        <v>7.6582421359832109</v>
      </c>
      <c r="L9" s="158">
        <v>0.79467869249980483</v>
      </c>
      <c r="M9" s="157">
        <v>7.6189770200148255</v>
      </c>
      <c r="N9" s="91">
        <v>8.7200286507296987</v>
      </c>
      <c r="O9" s="2">
        <v>0.76103971749972699</v>
      </c>
      <c r="P9" s="68">
        <v>2.0193822228974867E-2</v>
      </c>
      <c r="Q9" s="68">
        <v>1.5421899096717338E-2</v>
      </c>
      <c r="R9" s="68">
        <v>4.6497399816457639E-2</v>
      </c>
      <c r="S9" s="68">
        <v>8.8959265552303603E-5</v>
      </c>
      <c r="T9" s="68">
        <v>5.0543340914834466E-4</v>
      </c>
      <c r="U9" s="68">
        <v>2.3805049176220013E-3</v>
      </c>
      <c r="V9" s="166">
        <v>2.6692223022218862</v>
      </c>
      <c r="W9" s="91">
        <v>0.76715560702184615</v>
      </c>
      <c r="X9" s="89">
        <v>10.959552036459437</v>
      </c>
      <c r="Y9" s="90">
        <v>6.2677259215906833E-2</v>
      </c>
      <c r="Z9" s="188">
        <v>0.6516636752726761</v>
      </c>
      <c r="AA9" s="92">
        <v>5.4483363247273235</v>
      </c>
    </row>
    <row r="10" spans="1:27" s="85" customFormat="1" ht="15.75" x14ac:dyDescent="0.25">
      <c r="A10" s="88" t="s">
        <v>182</v>
      </c>
      <c r="B10" s="73">
        <v>7.28</v>
      </c>
      <c r="C10" s="193">
        <v>1377.0163542082171</v>
      </c>
      <c r="D10" s="194">
        <v>224</v>
      </c>
      <c r="E10" s="84">
        <v>20.9</v>
      </c>
      <c r="F10" s="68">
        <v>0.20899999999999999</v>
      </c>
      <c r="G10" s="68">
        <v>3.2000000000000001E-2</v>
      </c>
      <c r="H10" s="163">
        <v>5.282</v>
      </c>
      <c r="I10" s="164">
        <v>33.155149988124009</v>
      </c>
      <c r="J10" s="142">
        <v>5.6764929403110793</v>
      </c>
      <c r="K10" s="142">
        <v>19.894904399988331</v>
      </c>
      <c r="L10" s="158">
        <v>3.6662853145275367</v>
      </c>
      <c r="M10" s="157">
        <v>7.8914010378057817</v>
      </c>
      <c r="N10" s="91">
        <v>7.5278001611603544</v>
      </c>
      <c r="O10" s="2">
        <v>0.97291492227602028</v>
      </c>
      <c r="P10" s="68">
        <v>2.6732774188833391E-2</v>
      </c>
      <c r="Q10" s="68">
        <v>4.6265697290152015E-2</v>
      </c>
      <c r="R10" s="68">
        <v>3.9920464973998163E-2</v>
      </c>
      <c r="S10" s="68">
        <v>8.8959265552303603E-5</v>
      </c>
      <c r="T10" s="68">
        <v>3.369556060988965E-4</v>
      </c>
      <c r="U10" s="68">
        <v>3.7273695420660278E-3</v>
      </c>
      <c r="V10" s="166">
        <v>18.839155437385831</v>
      </c>
      <c r="W10" s="91">
        <v>2.3788359720884182</v>
      </c>
      <c r="X10" s="89">
        <v>25.138833409804722</v>
      </c>
      <c r="Y10" s="90">
        <v>0.13873447175471793</v>
      </c>
      <c r="Z10" s="33">
        <v>30.664641723042937</v>
      </c>
      <c r="AA10" s="92">
        <v>38.465358276957062</v>
      </c>
    </row>
    <row r="11" spans="1:27" s="85" customFormat="1" ht="15.75" x14ac:dyDescent="0.25">
      <c r="A11" s="29" t="s">
        <v>185</v>
      </c>
      <c r="B11" s="73">
        <v>7.23</v>
      </c>
      <c r="C11" s="193">
        <v>228.3687661434532</v>
      </c>
      <c r="D11" s="80">
        <v>45.9</v>
      </c>
      <c r="E11" s="84">
        <v>20.6</v>
      </c>
      <c r="F11" s="68">
        <v>2.8000000000000001E-2</v>
      </c>
      <c r="G11" s="68">
        <v>3.0000000000000001E-3</v>
      </c>
      <c r="H11" s="163">
        <v>1.9119999999999999</v>
      </c>
      <c r="I11" s="164">
        <v>7.6698182323586517</v>
      </c>
      <c r="J11" s="142">
        <v>1.1573751651842334</v>
      </c>
      <c r="K11" s="142">
        <v>1.9272171947874293</v>
      </c>
      <c r="L11" s="158">
        <v>0.55636694586113178</v>
      </c>
      <c r="M11" s="157">
        <v>1.2961452928094885</v>
      </c>
      <c r="N11" s="91">
        <v>0.69818246933476591</v>
      </c>
      <c r="O11" s="2">
        <v>3.0943973206159669E-2</v>
      </c>
      <c r="P11" s="68">
        <v>5.5773413775263908E-3</v>
      </c>
      <c r="Q11" s="68">
        <v>9.2846127214930921E-3</v>
      </c>
      <c r="R11" s="68">
        <v>2.4625267665952893E-2</v>
      </c>
      <c r="S11" s="68">
        <v>8.8959265552303603E-5</v>
      </c>
      <c r="T11" s="68">
        <v>1.6847780304944825E-4</v>
      </c>
      <c r="U11" s="68">
        <v>6.264486625321055E-4</v>
      </c>
      <c r="V11" s="166">
        <v>8.5118327836603971</v>
      </c>
      <c r="W11" s="91">
        <v>0.86668992878542694</v>
      </c>
      <c r="X11" s="89">
        <v>2.6962483191737561</v>
      </c>
      <c r="Y11" s="90">
        <v>5.9645730383722256E-2</v>
      </c>
      <c r="Z11" s="189">
        <v>0</v>
      </c>
      <c r="AA11" s="92">
        <v>0</v>
      </c>
    </row>
    <row r="12" spans="1:27" s="85" customFormat="1" ht="15.75" x14ac:dyDescent="0.25">
      <c r="A12" s="29" t="s">
        <v>188</v>
      </c>
      <c r="B12" s="73">
        <v>7.8</v>
      </c>
      <c r="C12" s="193">
        <v>1532.5389221556889</v>
      </c>
      <c r="D12" s="194">
        <v>213</v>
      </c>
      <c r="E12" s="84">
        <v>20.8</v>
      </c>
      <c r="F12" s="68">
        <v>0.16200000000000001</v>
      </c>
      <c r="G12" s="68">
        <v>1.0999999999999999E-2</v>
      </c>
      <c r="H12" s="163">
        <v>7.7190000000000003</v>
      </c>
      <c r="I12" s="164">
        <v>31.452238707786567</v>
      </c>
      <c r="J12" s="142">
        <v>4.730521781645578</v>
      </c>
      <c r="K12" s="142">
        <v>15.826347265975727</v>
      </c>
      <c r="L12" s="158">
        <v>2.4746781104911828</v>
      </c>
      <c r="M12" s="157">
        <v>1.5259451445515197</v>
      </c>
      <c r="N12" s="91">
        <v>2.011818426000537</v>
      </c>
      <c r="O12" s="2">
        <v>0.10630164913174851</v>
      </c>
      <c r="P12" s="68">
        <v>1.077003852211993E-2</v>
      </c>
      <c r="Q12" s="68">
        <v>1.2117206433135052E-2</v>
      </c>
      <c r="R12" s="68">
        <v>8.5653104925053555E-3</v>
      </c>
      <c r="S12" s="68">
        <v>8.8959265552303603E-5</v>
      </c>
      <c r="T12" s="68">
        <v>1.6847780304944825E-4</v>
      </c>
      <c r="U12" s="68">
        <v>7.2041596191192139E-4</v>
      </c>
      <c r="V12" s="166">
        <v>7.1913954320484859</v>
      </c>
      <c r="W12" s="91">
        <v>0.85435707095312641</v>
      </c>
      <c r="X12" s="89">
        <v>13.277731486364145</v>
      </c>
      <c r="Y12" s="90">
        <v>6.8291414617115187E-2</v>
      </c>
      <c r="Z12" s="189">
        <v>0.13419853651801641</v>
      </c>
      <c r="AA12" s="92">
        <v>2.1058014634819839</v>
      </c>
    </row>
    <row r="16" spans="1:27" x14ac:dyDescent="0.2">
      <c r="B16" s="85"/>
      <c r="C16" s="85" t="s">
        <v>441</v>
      </c>
      <c r="D16" s="85" t="s">
        <v>70</v>
      </c>
      <c r="E16" s="85" t="s">
        <v>444</v>
      </c>
      <c r="F16" s="85" t="s">
        <v>35</v>
      </c>
      <c r="G16" s="85" t="s">
        <v>443</v>
      </c>
      <c r="H16" s="85" t="s">
        <v>442</v>
      </c>
      <c r="I16" s="85" t="s">
        <v>28</v>
      </c>
      <c r="J16" s="85" t="s">
        <v>266</v>
      </c>
      <c r="K16" s="85" t="s">
        <v>268</v>
      </c>
      <c r="L16" s="85" t="s">
        <v>269</v>
      </c>
      <c r="M16" s="85" t="s">
        <v>267</v>
      </c>
      <c r="N16" s="85" t="s">
        <v>1</v>
      </c>
      <c r="O16" s="85" t="s">
        <v>2</v>
      </c>
      <c r="P16" s="85" t="s">
        <v>228</v>
      </c>
      <c r="Q16" s="85" t="s">
        <v>227</v>
      </c>
      <c r="R16" s="85" t="s">
        <v>229</v>
      </c>
      <c r="S16" s="85" t="s">
        <v>230</v>
      </c>
      <c r="T16" s="85" t="s">
        <v>232</v>
      </c>
      <c r="U16" s="85" t="s">
        <v>233</v>
      </c>
      <c r="V16" s="85" t="s">
        <v>234</v>
      </c>
      <c r="W16" s="85" t="s">
        <v>155</v>
      </c>
      <c r="X16" s="85" t="s">
        <v>157</v>
      </c>
      <c r="Y16" s="85" t="s">
        <v>154</v>
      </c>
      <c r="Z16" s="85" t="s">
        <v>74</v>
      </c>
      <c r="AA16" s="85" t="s">
        <v>34</v>
      </c>
    </row>
    <row r="17" spans="2:33" x14ac:dyDescent="0.2">
      <c r="B17" s="85" t="s">
        <v>70</v>
      </c>
      <c r="C17" s="201">
        <v>0.63600000000000001</v>
      </c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D17" t="s">
        <v>446</v>
      </c>
    </row>
    <row r="18" spans="2:33" x14ac:dyDescent="0.2">
      <c r="B18" s="85"/>
      <c r="C18" s="201">
        <v>3.5000000000000003E-2</v>
      </c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D18" t="s">
        <v>444</v>
      </c>
      <c r="AE18" t="s">
        <v>445</v>
      </c>
      <c r="AF18" s="202"/>
      <c r="AG18" s="202"/>
    </row>
    <row r="19" spans="2:33" x14ac:dyDescent="0.2">
      <c r="B19" s="85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E19" t="s">
        <v>266</v>
      </c>
    </row>
    <row r="20" spans="2:33" x14ac:dyDescent="0.2">
      <c r="B20" s="85" t="s">
        <v>444</v>
      </c>
      <c r="C20" s="201">
        <v>0.69899999999999995</v>
      </c>
      <c r="D20" s="202">
        <v>0.9</v>
      </c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E20" t="s">
        <v>268</v>
      </c>
    </row>
    <row r="21" spans="2:33" x14ac:dyDescent="0.2">
      <c r="B21" s="85"/>
      <c r="C21" s="201">
        <v>1.7000000000000001E-2</v>
      </c>
      <c r="D21" s="202">
        <v>0</v>
      </c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E21" t="s">
        <v>269</v>
      </c>
      <c r="AF21" t="s">
        <v>448</v>
      </c>
    </row>
    <row r="22" spans="2:33" x14ac:dyDescent="0.2">
      <c r="B22" s="85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E22" t="s">
        <v>267</v>
      </c>
    </row>
    <row r="23" spans="2:33" x14ac:dyDescent="0.2">
      <c r="B23" s="85" t="s">
        <v>35</v>
      </c>
      <c r="C23" s="201">
        <v>0</v>
      </c>
      <c r="D23" s="201">
        <v>9.4E-2</v>
      </c>
      <c r="E23" s="201">
        <v>-3.5999999999999997E-2</v>
      </c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E23" t="s">
        <v>154</v>
      </c>
    </row>
    <row r="24" spans="2:33" x14ac:dyDescent="0.2">
      <c r="B24" s="85"/>
      <c r="C24" s="201">
        <v>1</v>
      </c>
      <c r="D24" s="201">
        <v>0.78300000000000003</v>
      </c>
      <c r="E24" s="201">
        <v>0.91700000000000004</v>
      </c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</row>
    <row r="25" spans="2:33" x14ac:dyDescent="0.2">
      <c r="B25" s="85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D25" t="s">
        <v>70</v>
      </c>
      <c r="AE25" t="s">
        <v>266</v>
      </c>
    </row>
    <row r="26" spans="2:33" x14ac:dyDescent="0.2">
      <c r="B26" s="85" t="s">
        <v>443</v>
      </c>
      <c r="C26" s="201">
        <v>-0.32600000000000001</v>
      </c>
      <c r="D26" s="201">
        <v>-0.129</v>
      </c>
      <c r="E26" s="201">
        <v>-1.0999999999999999E-2</v>
      </c>
      <c r="F26" s="201">
        <v>-0.14599999999999999</v>
      </c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E26" t="s">
        <v>268</v>
      </c>
    </row>
    <row r="27" spans="2:33" x14ac:dyDescent="0.2">
      <c r="B27" s="85"/>
      <c r="C27" s="201">
        <v>0.32800000000000001</v>
      </c>
      <c r="D27" s="201">
        <v>0.70499999999999996</v>
      </c>
      <c r="E27" s="201">
        <v>0.97399999999999998</v>
      </c>
      <c r="F27" s="201">
        <v>0.66800000000000004</v>
      </c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E27" t="s">
        <v>269</v>
      </c>
      <c r="AF27" s="85" t="s">
        <v>449</v>
      </c>
    </row>
    <row r="28" spans="2:33" x14ac:dyDescent="0.2">
      <c r="B28" s="85"/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E28" t="s">
        <v>267</v>
      </c>
    </row>
    <row r="29" spans="2:33" x14ac:dyDescent="0.2">
      <c r="B29" s="85" t="s">
        <v>442</v>
      </c>
      <c r="C29" s="201">
        <v>0.10100000000000001</v>
      </c>
      <c r="D29" s="201">
        <v>8.4000000000000005E-2</v>
      </c>
      <c r="E29" s="201">
        <v>0.24299999999999999</v>
      </c>
      <c r="F29" s="201">
        <v>-0.17499999999999999</v>
      </c>
      <c r="G29" s="201">
        <v>0.16300000000000001</v>
      </c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</row>
    <row r="30" spans="2:33" x14ac:dyDescent="0.2">
      <c r="B30" s="85"/>
      <c r="C30" s="201">
        <v>0.76800000000000002</v>
      </c>
      <c r="D30" s="201">
        <v>0.80700000000000005</v>
      </c>
      <c r="E30" s="201">
        <v>0.47199999999999998</v>
      </c>
      <c r="F30" s="201">
        <v>0.60699999999999998</v>
      </c>
      <c r="G30" s="201">
        <v>0.63300000000000001</v>
      </c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D30" t="s">
        <v>447</v>
      </c>
      <c r="AE30" t="s">
        <v>28</v>
      </c>
      <c r="AF30" t="s">
        <v>450</v>
      </c>
    </row>
    <row r="31" spans="2:33" x14ac:dyDescent="0.2">
      <c r="B31" s="85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</row>
    <row r="32" spans="2:33" x14ac:dyDescent="0.2">
      <c r="B32" s="85" t="s">
        <v>28</v>
      </c>
      <c r="C32" s="201">
        <v>-8.7999999999999995E-2</v>
      </c>
      <c r="D32" s="201">
        <v>0.35299999999999998</v>
      </c>
      <c r="E32" s="201">
        <v>0.32300000000000001</v>
      </c>
      <c r="F32" s="201">
        <v>4.0000000000000001E-3</v>
      </c>
      <c r="G32" s="202">
        <v>0.73199999999999998</v>
      </c>
      <c r="H32" s="201">
        <v>0.27</v>
      </c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D32" t="s">
        <v>266</v>
      </c>
      <c r="AE32" t="s">
        <v>268</v>
      </c>
    </row>
    <row r="33" spans="2:32" x14ac:dyDescent="0.2">
      <c r="B33" s="85"/>
      <c r="C33" s="201">
        <v>0.79800000000000004</v>
      </c>
      <c r="D33" s="201">
        <v>0.28599999999999998</v>
      </c>
      <c r="E33" s="201">
        <v>0.33300000000000002</v>
      </c>
      <c r="F33" s="201">
        <v>0.99099999999999999</v>
      </c>
      <c r="G33" s="202">
        <v>0.01</v>
      </c>
      <c r="H33" s="201">
        <v>0.42299999999999999</v>
      </c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E33" t="s">
        <v>269</v>
      </c>
    </row>
    <row r="34" spans="2:32" x14ac:dyDescent="0.2">
      <c r="B34" s="85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E34" t="s">
        <v>267</v>
      </c>
      <c r="AF34" s="85" t="s">
        <v>448</v>
      </c>
    </row>
    <row r="35" spans="2:32" x14ac:dyDescent="0.2">
      <c r="B35" s="85" t="s">
        <v>266</v>
      </c>
      <c r="C35" s="201">
        <v>0.71499999999999997</v>
      </c>
      <c r="D35" s="202">
        <v>0.97</v>
      </c>
      <c r="E35" s="202">
        <v>0.96899999999999997</v>
      </c>
      <c r="F35" s="201">
        <v>3.5999999999999997E-2</v>
      </c>
      <c r="G35" s="201">
        <v>-0.08</v>
      </c>
      <c r="H35" s="201">
        <v>0.154</v>
      </c>
      <c r="I35" s="201">
        <v>0.29599999999999999</v>
      </c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E35" t="s">
        <v>155</v>
      </c>
    </row>
    <row r="36" spans="2:32" x14ac:dyDescent="0.2">
      <c r="B36" s="85"/>
      <c r="C36" s="201">
        <v>1.2999999999999999E-2</v>
      </c>
      <c r="D36" s="202">
        <v>0</v>
      </c>
      <c r="E36" s="202">
        <v>0</v>
      </c>
      <c r="F36" s="201">
        <v>0.91700000000000004</v>
      </c>
      <c r="G36" s="201">
        <v>0.81399999999999995</v>
      </c>
      <c r="H36" s="201">
        <v>0.65</v>
      </c>
      <c r="I36" s="201">
        <v>0.376</v>
      </c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E36" t="s">
        <v>154</v>
      </c>
    </row>
    <row r="37" spans="2:32" x14ac:dyDescent="0.2">
      <c r="B37" s="85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</row>
    <row r="38" spans="2:32" x14ac:dyDescent="0.2">
      <c r="B38" s="85" t="s">
        <v>268</v>
      </c>
      <c r="C38" s="201">
        <v>0.70899999999999996</v>
      </c>
      <c r="D38" s="202">
        <v>0.90700000000000003</v>
      </c>
      <c r="E38" s="202">
        <v>0.94199999999999995</v>
      </c>
      <c r="F38" s="201">
        <v>-1.9E-2</v>
      </c>
      <c r="G38" s="201">
        <v>-5.8000000000000003E-2</v>
      </c>
      <c r="H38" s="201">
        <v>0.39400000000000002</v>
      </c>
      <c r="I38" s="201">
        <v>0.27700000000000002</v>
      </c>
      <c r="J38" s="202">
        <v>0.95899999999999996</v>
      </c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D38" t="s">
        <v>268</v>
      </c>
      <c r="AE38" t="s">
        <v>267</v>
      </c>
      <c r="AF38" s="85" t="s">
        <v>448</v>
      </c>
    </row>
    <row r="39" spans="2:32" x14ac:dyDescent="0.2">
      <c r="B39" s="85"/>
      <c r="C39" s="201">
        <v>1.4999999999999999E-2</v>
      </c>
      <c r="D39" s="202">
        <v>0</v>
      </c>
      <c r="E39" s="202">
        <v>0</v>
      </c>
      <c r="F39" s="201">
        <v>0.95599999999999996</v>
      </c>
      <c r="G39" s="201">
        <v>0.86499999999999999</v>
      </c>
      <c r="H39" s="201">
        <v>0.23</v>
      </c>
      <c r="I39" s="201">
        <v>0.41</v>
      </c>
      <c r="J39" s="202">
        <v>0</v>
      </c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E39" t="s">
        <v>155</v>
      </c>
    </row>
    <row r="40" spans="2:32" x14ac:dyDescent="0.2">
      <c r="B40" s="85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01"/>
    </row>
    <row r="41" spans="2:32" x14ac:dyDescent="0.2">
      <c r="B41" s="85" t="s">
        <v>269</v>
      </c>
      <c r="C41" s="201">
        <v>0.64300000000000002</v>
      </c>
      <c r="D41" s="202">
        <v>0.76600000000000001</v>
      </c>
      <c r="E41" s="202">
        <v>0.96099999999999997</v>
      </c>
      <c r="F41" s="201">
        <v>-7.0000000000000007E-2</v>
      </c>
      <c r="G41" s="201">
        <v>5.8000000000000003E-2</v>
      </c>
      <c r="H41" s="201">
        <v>0.26500000000000001</v>
      </c>
      <c r="I41" s="201">
        <v>0.28799999999999998</v>
      </c>
      <c r="J41" s="202">
        <v>0.877</v>
      </c>
      <c r="K41" s="201">
        <v>0.86499999999999999</v>
      </c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D41" t="s">
        <v>269</v>
      </c>
      <c r="AE41" t="s">
        <v>267</v>
      </c>
    </row>
    <row r="42" spans="2:32" x14ac:dyDescent="0.2">
      <c r="B42" s="85"/>
      <c r="C42" s="201">
        <v>3.3000000000000002E-2</v>
      </c>
      <c r="D42" s="202">
        <v>6.0000000000000001E-3</v>
      </c>
      <c r="E42" s="202">
        <v>0</v>
      </c>
      <c r="F42" s="201">
        <v>0.83799999999999997</v>
      </c>
      <c r="G42" s="201">
        <v>0.86499999999999999</v>
      </c>
      <c r="H42" s="201">
        <v>0.43</v>
      </c>
      <c r="I42" s="201">
        <v>0.39</v>
      </c>
      <c r="J42" s="202">
        <v>0</v>
      </c>
      <c r="K42" s="201">
        <v>1E-3</v>
      </c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01"/>
      <c r="Z42" s="201"/>
      <c r="AA42" s="201"/>
      <c r="AE42" t="s">
        <v>155</v>
      </c>
    </row>
    <row r="43" spans="2:32" x14ac:dyDescent="0.2">
      <c r="B43" s="85"/>
      <c r="C43" s="201"/>
      <c r="D43" s="202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E43" t="s">
        <v>154</v>
      </c>
      <c r="AF43" s="85" t="s">
        <v>451</v>
      </c>
    </row>
    <row r="44" spans="2:32" x14ac:dyDescent="0.2">
      <c r="B44" s="85" t="s">
        <v>267</v>
      </c>
      <c r="C44" s="201">
        <v>0.60199999999999998</v>
      </c>
      <c r="D44" s="202">
        <v>0.78500000000000003</v>
      </c>
      <c r="E44" s="202">
        <v>0.94499999999999995</v>
      </c>
      <c r="F44" s="201">
        <v>-0.15</v>
      </c>
      <c r="G44" s="201">
        <v>1.0999999999999999E-2</v>
      </c>
      <c r="H44" s="201">
        <v>0.5</v>
      </c>
      <c r="I44" s="201">
        <v>0.28100000000000003</v>
      </c>
      <c r="J44" s="202">
        <v>0.88300000000000001</v>
      </c>
      <c r="K44" s="202">
        <v>0.93100000000000005</v>
      </c>
      <c r="L44" s="202">
        <v>0.93500000000000005</v>
      </c>
      <c r="M44" s="201"/>
      <c r="N44" s="201"/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E44" t="s">
        <v>74</v>
      </c>
    </row>
    <row r="45" spans="2:32" x14ac:dyDescent="0.2">
      <c r="B45" s="85"/>
      <c r="C45" s="201">
        <v>0.05</v>
      </c>
      <c r="D45" s="202">
        <v>4.0000000000000001E-3</v>
      </c>
      <c r="E45" s="202">
        <v>0</v>
      </c>
      <c r="F45" s="201">
        <v>0.66</v>
      </c>
      <c r="G45" s="201">
        <v>0.97499999999999998</v>
      </c>
      <c r="H45" s="201">
        <v>0.11799999999999999</v>
      </c>
      <c r="I45" s="201">
        <v>0.40300000000000002</v>
      </c>
      <c r="J45" s="202">
        <v>0</v>
      </c>
      <c r="K45" s="202">
        <v>0</v>
      </c>
      <c r="L45" s="202">
        <v>0</v>
      </c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</row>
    <row r="46" spans="2:32" x14ac:dyDescent="0.2">
      <c r="B46" s="85"/>
      <c r="C46" s="201"/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</row>
    <row r="47" spans="2:32" x14ac:dyDescent="0.2">
      <c r="B47" s="85" t="s">
        <v>1</v>
      </c>
      <c r="C47" s="201">
        <v>0.13200000000000001</v>
      </c>
      <c r="D47" s="201">
        <v>-0.36099999999999999</v>
      </c>
      <c r="E47" s="201">
        <v>-0.20300000000000001</v>
      </c>
      <c r="F47" s="201">
        <v>0.30199999999999999</v>
      </c>
      <c r="G47" s="201">
        <v>0.17199999999999999</v>
      </c>
      <c r="H47" s="201">
        <v>0.105</v>
      </c>
      <c r="I47" s="201">
        <v>-0.13500000000000001</v>
      </c>
      <c r="J47" s="201">
        <v>-0.26100000000000001</v>
      </c>
      <c r="K47" s="201">
        <v>-0.16300000000000001</v>
      </c>
      <c r="L47" s="201">
        <v>-4.9000000000000002E-2</v>
      </c>
      <c r="M47" s="201">
        <v>-0.192</v>
      </c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D47" t="s">
        <v>267</v>
      </c>
      <c r="AE47" t="s">
        <v>155</v>
      </c>
    </row>
    <row r="48" spans="2:32" x14ac:dyDescent="0.2">
      <c r="B48" s="85"/>
      <c r="C48" s="201">
        <v>0.7</v>
      </c>
      <c r="D48" s="201">
        <v>0.27600000000000002</v>
      </c>
      <c r="E48" s="201">
        <v>0.54800000000000004</v>
      </c>
      <c r="F48" s="201">
        <v>0.36599999999999999</v>
      </c>
      <c r="G48" s="201">
        <v>0.61199999999999999</v>
      </c>
      <c r="H48" s="201">
        <v>0.75900000000000001</v>
      </c>
      <c r="I48" s="201">
        <v>0.69299999999999995</v>
      </c>
      <c r="J48" s="201">
        <v>0.439</v>
      </c>
      <c r="K48" s="201">
        <v>0.63200000000000001</v>
      </c>
      <c r="L48" s="201">
        <v>0.88500000000000001</v>
      </c>
      <c r="M48" s="201">
        <v>0.57099999999999995</v>
      </c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201"/>
      <c r="AE48" t="s">
        <v>154</v>
      </c>
      <c r="AF48" s="85" t="s">
        <v>452</v>
      </c>
    </row>
    <row r="49" spans="2:32" x14ac:dyDescent="0.2">
      <c r="B49" s="85"/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  <c r="AA49" s="201"/>
      <c r="AE49" t="s">
        <v>74</v>
      </c>
    </row>
    <row r="50" spans="2:32" x14ac:dyDescent="0.2">
      <c r="B50" s="85" t="s">
        <v>2</v>
      </c>
      <c r="C50" s="201">
        <v>-0.02</v>
      </c>
      <c r="D50" s="201">
        <v>-0.28000000000000003</v>
      </c>
      <c r="E50" s="201">
        <v>-0.153</v>
      </c>
      <c r="F50" s="201">
        <v>0.42499999999999999</v>
      </c>
      <c r="G50" s="201">
        <v>0.34599999999999997</v>
      </c>
      <c r="H50" s="201">
        <v>0.126</v>
      </c>
      <c r="I50" s="201">
        <v>5.3999999999999999E-2</v>
      </c>
      <c r="J50" s="201">
        <v>-0.19900000000000001</v>
      </c>
      <c r="K50" s="201">
        <v>-0.10100000000000001</v>
      </c>
      <c r="L50" s="201">
        <v>2E-3</v>
      </c>
      <c r="M50" s="201">
        <v>-0.14099999999999999</v>
      </c>
      <c r="N50" s="202">
        <v>0.93799999999999994</v>
      </c>
      <c r="O50" s="201"/>
      <c r="P50" s="201"/>
      <c r="Q50" s="201"/>
      <c r="R50" s="201"/>
      <c r="S50" s="201"/>
      <c r="T50" s="201"/>
      <c r="U50" s="201"/>
      <c r="V50" s="201"/>
      <c r="W50" s="201"/>
      <c r="X50" s="201"/>
      <c r="Y50" s="201"/>
      <c r="Z50" s="201"/>
      <c r="AA50" s="201"/>
    </row>
    <row r="51" spans="2:32" x14ac:dyDescent="0.2">
      <c r="B51" s="85"/>
      <c r="C51" s="201">
        <v>0.95299999999999996</v>
      </c>
      <c r="D51" s="201">
        <v>0.40400000000000003</v>
      </c>
      <c r="E51" s="201">
        <v>0.65400000000000003</v>
      </c>
      <c r="F51" s="201">
        <v>0.192</v>
      </c>
      <c r="G51" s="201">
        <v>0.29699999999999999</v>
      </c>
      <c r="H51" s="201">
        <v>0.71199999999999997</v>
      </c>
      <c r="I51" s="201">
        <v>0.876</v>
      </c>
      <c r="J51" s="201">
        <v>0.55800000000000005</v>
      </c>
      <c r="K51" s="201">
        <v>0.76700000000000002</v>
      </c>
      <c r="L51" s="201">
        <v>0.996</v>
      </c>
      <c r="M51" s="201">
        <v>0.67900000000000005</v>
      </c>
      <c r="N51" s="202">
        <v>0</v>
      </c>
      <c r="O51" s="201"/>
      <c r="P51" s="201"/>
      <c r="Q51" s="201"/>
      <c r="R51" s="201"/>
      <c r="S51" s="201"/>
      <c r="T51" s="201"/>
      <c r="U51" s="201"/>
      <c r="V51" s="201"/>
      <c r="W51" s="201"/>
      <c r="X51" s="201"/>
      <c r="Y51" s="201"/>
      <c r="Z51" s="201"/>
      <c r="AA51" s="201"/>
      <c r="AD51" t="s">
        <v>157</v>
      </c>
      <c r="AE51" t="s">
        <v>74</v>
      </c>
    </row>
    <row r="52" spans="2:32" x14ac:dyDescent="0.2">
      <c r="B52" s="85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</row>
    <row r="53" spans="2:32" x14ac:dyDescent="0.2">
      <c r="B53" s="85" t="s">
        <v>228</v>
      </c>
      <c r="C53" s="201">
        <v>-0.108</v>
      </c>
      <c r="D53" s="201">
        <v>0.27200000000000002</v>
      </c>
      <c r="E53" s="201">
        <v>0.38900000000000001</v>
      </c>
      <c r="F53" s="201">
        <v>0.223</v>
      </c>
      <c r="G53" s="201">
        <v>0.28000000000000003</v>
      </c>
      <c r="H53" s="201">
        <v>0.57099999999999995</v>
      </c>
      <c r="I53" s="201">
        <v>0.33600000000000002</v>
      </c>
      <c r="J53" s="201">
        <v>0.32700000000000001</v>
      </c>
      <c r="K53" s="201">
        <v>0.435</v>
      </c>
      <c r="L53" s="201">
        <v>0.46700000000000003</v>
      </c>
      <c r="M53" s="201">
        <v>0.55800000000000005</v>
      </c>
      <c r="N53" s="201">
        <v>8.5999999999999993E-2</v>
      </c>
      <c r="O53" s="201">
        <v>0.30399999999999999</v>
      </c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1"/>
      <c r="AD53" t="s">
        <v>154</v>
      </c>
      <c r="AE53" t="s">
        <v>74</v>
      </c>
    </row>
    <row r="54" spans="2:32" x14ac:dyDescent="0.2">
      <c r="B54" s="85"/>
      <c r="C54" s="201">
        <v>0.752</v>
      </c>
      <c r="D54" s="201">
        <v>0.41899999999999998</v>
      </c>
      <c r="E54" s="201">
        <v>0.23699999999999999</v>
      </c>
      <c r="F54" s="201">
        <v>0.51</v>
      </c>
      <c r="G54" s="201">
        <v>0.40400000000000003</v>
      </c>
      <c r="H54" s="201">
        <v>6.6000000000000003E-2</v>
      </c>
      <c r="I54" s="201">
        <v>0.312</v>
      </c>
      <c r="J54" s="201">
        <v>0.32700000000000001</v>
      </c>
      <c r="K54" s="201">
        <v>0.18099999999999999</v>
      </c>
      <c r="L54" s="201">
        <v>0.14699999999999999</v>
      </c>
      <c r="M54" s="201">
        <v>7.3999999999999996E-2</v>
      </c>
      <c r="N54" s="201">
        <v>0.80100000000000005</v>
      </c>
      <c r="O54" s="201">
        <v>0.36399999999999999</v>
      </c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</row>
    <row r="55" spans="2:32" x14ac:dyDescent="0.2">
      <c r="B55" s="85"/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201"/>
      <c r="O55" s="201"/>
      <c r="P55" s="201"/>
      <c r="Q55" s="201"/>
      <c r="R55" s="201"/>
      <c r="S55" s="201"/>
      <c r="T55" s="201"/>
      <c r="U55" s="201"/>
      <c r="V55" s="201"/>
      <c r="W55" s="201"/>
      <c r="X55" s="201"/>
      <c r="Y55" s="201"/>
      <c r="Z55" s="201"/>
      <c r="AA55" s="201"/>
      <c r="AD55" t="s">
        <v>197</v>
      </c>
      <c r="AE55" t="s">
        <v>158</v>
      </c>
      <c r="AF55" t="s">
        <v>453</v>
      </c>
    </row>
    <row r="56" spans="2:32" x14ac:dyDescent="0.2">
      <c r="B56" s="85" t="s">
        <v>227</v>
      </c>
      <c r="C56" s="201">
        <v>0.41099999999999998</v>
      </c>
      <c r="D56" s="201">
        <v>5.8000000000000003E-2</v>
      </c>
      <c r="E56" s="201">
        <v>0.36499999999999999</v>
      </c>
      <c r="F56" s="201">
        <v>6.5000000000000002E-2</v>
      </c>
      <c r="G56" s="201">
        <v>0.29199999999999998</v>
      </c>
      <c r="H56" s="201">
        <v>0.30599999999999999</v>
      </c>
      <c r="I56" s="201">
        <v>5.7000000000000002E-2</v>
      </c>
      <c r="J56" s="201">
        <v>0.24</v>
      </c>
      <c r="K56" s="201">
        <v>0.34200000000000003</v>
      </c>
      <c r="L56" s="201">
        <v>0.54200000000000004</v>
      </c>
      <c r="M56" s="201">
        <v>0.39800000000000002</v>
      </c>
      <c r="N56" s="202">
        <v>0.77500000000000002</v>
      </c>
      <c r="O56" s="202">
        <v>0.76700000000000002</v>
      </c>
      <c r="P56" s="201">
        <v>0.35699999999999998</v>
      </c>
      <c r="Q56" s="201"/>
      <c r="R56" s="201"/>
      <c r="S56" s="201"/>
      <c r="T56" s="201"/>
      <c r="U56" s="201"/>
      <c r="V56" s="201"/>
      <c r="W56" s="201"/>
      <c r="X56" s="201"/>
      <c r="Y56" s="201"/>
      <c r="Z56" s="201"/>
      <c r="AA56" s="201"/>
    </row>
    <row r="57" spans="2:32" x14ac:dyDescent="0.2">
      <c r="B57" s="85"/>
      <c r="C57" s="201">
        <v>0.20899999999999999</v>
      </c>
      <c r="D57" s="201">
        <v>0.86499999999999999</v>
      </c>
      <c r="E57" s="201">
        <v>0.27</v>
      </c>
      <c r="F57" s="201">
        <v>0.84899999999999998</v>
      </c>
      <c r="G57" s="201">
        <v>0.38300000000000001</v>
      </c>
      <c r="H57" s="201">
        <v>0.36</v>
      </c>
      <c r="I57" s="201">
        <v>0.86799999999999999</v>
      </c>
      <c r="J57" s="201">
        <v>0.47799999999999998</v>
      </c>
      <c r="K57" s="201">
        <v>0.30399999999999999</v>
      </c>
      <c r="L57" s="201">
        <v>8.5000000000000006E-2</v>
      </c>
      <c r="M57" s="201">
        <v>0.22500000000000001</v>
      </c>
      <c r="N57" s="202">
        <v>5.0000000000000001E-3</v>
      </c>
      <c r="O57" s="202">
        <v>6.0000000000000001E-3</v>
      </c>
      <c r="P57" s="201">
        <v>0.28100000000000003</v>
      </c>
      <c r="Q57" s="201"/>
      <c r="R57" s="201"/>
      <c r="S57" s="201"/>
      <c r="T57" s="201"/>
      <c r="U57" s="201"/>
      <c r="V57" s="201"/>
      <c r="W57" s="201"/>
      <c r="X57" s="201"/>
      <c r="Y57" s="201"/>
      <c r="Z57" s="201"/>
      <c r="AA57" s="201"/>
      <c r="AD57" t="s">
        <v>1</v>
      </c>
      <c r="AE57" t="s">
        <v>2</v>
      </c>
    </row>
    <row r="58" spans="2:32" x14ac:dyDescent="0.2">
      <c r="B58" s="85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E58" t="s">
        <v>227</v>
      </c>
    </row>
    <row r="59" spans="2:32" x14ac:dyDescent="0.2">
      <c r="B59" s="85" t="s">
        <v>229</v>
      </c>
      <c r="C59" s="201">
        <v>0.47699999999999998</v>
      </c>
      <c r="D59" s="201">
        <v>0.27500000000000002</v>
      </c>
      <c r="E59" s="201">
        <v>0.56200000000000006</v>
      </c>
      <c r="F59" s="201">
        <v>-8.7999999999999995E-2</v>
      </c>
      <c r="G59" s="201">
        <v>0.28199999999999997</v>
      </c>
      <c r="H59" s="201">
        <v>0.437</v>
      </c>
      <c r="I59" s="201">
        <v>6.0999999999999999E-2</v>
      </c>
      <c r="J59" s="201">
        <v>0.46700000000000003</v>
      </c>
      <c r="K59" s="201">
        <v>0.58599999999999997</v>
      </c>
      <c r="L59" s="201">
        <v>0.67600000000000005</v>
      </c>
      <c r="M59" s="201">
        <v>0.64500000000000002</v>
      </c>
      <c r="N59" s="201">
        <v>0.52800000000000002</v>
      </c>
      <c r="O59" s="201">
        <v>0.53400000000000003</v>
      </c>
      <c r="P59" s="201">
        <v>0.498</v>
      </c>
      <c r="Q59" s="202">
        <v>0.89100000000000001</v>
      </c>
      <c r="R59" s="201"/>
      <c r="S59" s="201"/>
      <c r="T59" s="201"/>
      <c r="U59" s="201"/>
      <c r="V59" s="201"/>
      <c r="W59" s="201"/>
      <c r="X59" s="201"/>
      <c r="Y59" s="201"/>
      <c r="Z59" s="201"/>
      <c r="AA59" s="201"/>
      <c r="AE59" t="s">
        <v>230</v>
      </c>
    </row>
    <row r="60" spans="2:32" x14ac:dyDescent="0.2">
      <c r="B60" s="85"/>
      <c r="C60" s="201">
        <v>0.13800000000000001</v>
      </c>
      <c r="D60" s="201">
        <v>0.41299999999999998</v>
      </c>
      <c r="E60" s="201">
        <v>7.1999999999999995E-2</v>
      </c>
      <c r="F60" s="201">
        <v>0.79800000000000004</v>
      </c>
      <c r="G60" s="201">
        <v>0.4</v>
      </c>
      <c r="H60" s="201">
        <v>0.17899999999999999</v>
      </c>
      <c r="I60" s="201">
        <v>0.86</v>
      </c>
      <c r="J60" s="201">
        <v>0.14699999999999999</v>
      </c>
      <c r="K60" s="201">
        <v>5.8000000000000003E-2</v>
      </c>
      <c r="L60" s="201">
        <v>2.1999999999999999E-2</v>
      </c>
      <c r="M60" s="201">
        <v>3.2000000000000001E-2</v>
      </c>
      <c r="N60" s="201">
        <v>9.5000000000000001E-2</v>
      </c>
      <c r="O60" s="201">
        <v>0.09</v>
      </c>
      <c r="P60" s="201">
        <v>0.11899999999999999</v>
      </c>
      <c r="Q60" s="202">
        <v>0</v>
      </c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E60" t="s">
        <v>232</v>
      </c>
      <c r="AF60" t="s">
        <v>456</v>
      </c>
    </row>
    <row r="61" spans="2:32" x14ac:dyDescent="0.2">
      <c r="B61" s="85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E61" t="s">
        <v>233</v>
      </c>
    </row>
    <row r="62" spans="2:32" x14ac:dyDescent="0.2">
      <c r="B62" s="85" t="s">
        <v>230</v>
      </c>
      <c r="C62" s="201">
        <v>-0.10199999999999999</v>
      </c>
      <c r="D62" s="201">
        <v>-0.56000000000000005</v>
      </c>
      <c r="E62" s="201">
        <v>-0.45300000000000001</v>
      </c>
      <c r="F62" s="201">
        <v>0.23699999999999999</v>
      </c>
      <c r="G62" s="201">
        <v>0.11899999999999999</v>
      </c>
      <c r="H62" s="201">
        <v>-6.8000000000000005E-2</v>
      </c>
      <c r="I62" s="201">
        <v>-0.255</v>
      </c>
      <c r="J62" s="201">
        <v>-0.49399999999999999</v>
      </c>
      <c r="K62" s="201">
        <v>-0.42599999999999999</v>
      </c>
      <c r="L62" s="201">
        <v>-0.29399999999999998</v>
      </c>
      <c r="M62" s="201">
        <v>-0.439</v>
      </c>
      <c r="N62" s="202">
        <v>0.94099999999999995</v>
      </c>
      <c r="O62" s="202">
        <v>0.86</v>
      </c>
      <c r="P62" s="201">
        <v>-2.9000000000000001E-2</v>
      </c>
      <c r="Q62" s="201">
        <v>0.57799999999999996</v>
      </c>
      <c r="R62" s="201">
        <v>0.31900000000000001</v>
      </c>
      <c r="S62" s="201"/>
      <c r="T62" s="201"/>
      <c r="U62" s="201"/>
      <c r="V62" s="201"/>
      <c r="W62" s="201"/>
      <c r="X62" s="201"/>
      <c r="Y62" s="201"/>
      <c r="Z62" s="201"/>
      <c r="AA62" s="201"/>
      <c r="AE62" t="s">
        <v>234</v>
      </c>
    </row>
    <row r="63" spans="2:32" x14ac:dyDescent="0.2">
      <c r="B63" s="85"/>
      <c r="C63" s="201">
        <v>0.76600000000000001</v>
      </c>
      <c r="D63" s="201">
        <v>7.2999999999999995E-2</v>
      </c>
      <c r="E63" s="201">
        <v>0.16200000000000001</v>
      </c>
      <c r="F63" s="201">
        <v>0.48299999999999998</v>
      </c>
      <c r="G63" s="201">
        <v>0.72699999999999998</v>
      </c>
      <c r="H63" s="201">
        <v>0.84299999999999997</v>
      </c>
      <c r="I63" s="201">
        <v>0.44900000000000001</v>
      </c>
      <c r="J63" s="201">
        <v>0.122</v>
      </c>
      <c r="K63" s="201">
        <v>0.191</v>
      </c>
      <c r="L63" s="201">
        <v>0.38</v>
      </c>
      <c r="M63" s="201">
        <v>0.17699999999999999</v>
      </c>
      <c r="N63" s="202">
        <v>0</v>
      </c>
      <c r="O63" s="202">
        <v>1E-3</v>
      </c>
      <c r="P63" s="201">
        <v>0.93100000000000005</v>
      </c>
      <c r="Q63" s="201">
        <v>6.2E-2</v>
      </c>
      <c r="R63" s="201">
        <v>0.33900000000000002</v>
      </c>
      <c r="S63" s="201"/>
      <c r="T63" s="201"/>
      <c r="U63" s="201"/>
      <c r="V63" s="201"/>
      <c r="W63" s="201"/>
      <c r="X63" s="201"/>
      <c r="Y63" s="201"/>
      <c r="Z63" s="201"/>
      <c r="AA63" s="201"/>
    </row>
    <row r="64" spans="2:32" x14ac:dyDescent="0.2">
      <c r="B64" s="85"/>
      <c r="C64" s="201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D64" t="s">
        <v>2</v>
      </c>
      <c r="AE64" t="s">
        <v>227</v>
      </c>
    </row>
    <row r="65" spans="2:32" x14ac:dyDescent="0.2">
      <c r="B65" s="85" t="s">
        <v>232</v>
      </c>
      <c r="C65" s="201">
        <v>0.159</v>
      </c>
      <c r="D65" s="201">
        <v>-0.42699999999999999</v>
      </c>
      <c r="E65" s="201">
        <v>-0.26600000000000001</v>
      </c>
      <c r="F65" s="201">
        <v>1.7000000000000001E-2</v>
      </c>
      <c r="G65" s="201">
        <v>4.7E-2</v>
      </c>
      <c r="H65" s="201">
        <v>0.29799999999999999</v>
      </c>
      <c r="I65" s="201">
        <v>-0.186</v>
      </c>
      <c r="J65" s="201">
        <v>-0.33700000000000002</v>
      </c>
      <c r="K65" s="201">
        <v>-0.19900000000000001</v>
      </c>
      <c r="L65" s="201">
        <v>-0.122</v>
      </c>
      <c r="M65" s="201">
        <v>-0.17100000000000001</v>
      </c>
      <c r="N65" s="202">
        <v>0.88200000000000001</v>
      </c>
      <c r="O65" s="202">
        <v>0.72699999999999998</v>
      </c>
      <c r="P65" s="201">
        <v>5.6000000000000001E-2</v>
      </c>
      <c r="Q65" s="201">
        <v>0.63300000000000001</v>
      </c>
      <c r="R65" s="201">
        <v>0.44</v>
      </c>
      <c r="S65" s="202">
        <v>0.86599999999999999</v>
      </c>
      <c r="T65" s="201"/>
      <c r="U65" s="201"/>
      <c r="V65" s="201"/>
      <c r="W65" s="201"/>
      <c r="X65" s="201"/>
      <c r="Y65" s="201"/>
      <c r="Z65" s="201"/>
      <c r="AA65" s="201"/>
      <c r="AE65" t="s">
        <v>230</v>
      </c>
    </row>
    <row r="66" spans="2:32" x14ac:dyDescent="0.2">
      <c r="B66" s="85"/>
      <c r="C66" s="201">
        <v>0.64100000000000001</v>
      </c>
      <c r="D66" s="201">
        <v>0.19</v>
      </c>
      <c r="E66" s="201">
        <v>0.42899999999999999</v>
      </c>
      <c r="F66" s="201">
        <v>0.96</v>
      </c>
      <c r="G66" s="201">
        <v>0.89100000000000001</v>
      </c>
      <c r="H66" s="201">
        <v>0.373</v>
      </c>
      <c r="I66" s="201">
        <v>0.58399999999999996</v>
      </c>
      <c r="J66" s="201">
        <v>0.311</v>
      </c>
      <c r="K66" s="201">
        <v>0.55800000000000005</v>
      </c>
      <c r="L66" s="201">
        <v>0.72099999999999997</v>
      </c>
      <c r="M66" s="201">
        <v>0.61599999999999999</v>
      </c>
      <c r="N66" s="202">
        <v>0</v>
      </c>
      <c r="O66" s="202">
        <v>1.0999999999999999E-2</v>
      </c>
      <c r="P66" s="201">
        <v>0.87</v>
      </c>
      <c r="Q66" s="201">
        <v>3.5999999999999997E-2</v>
      </c>
      <c r="R66" s="201">
        <v>0.17499999999999999</v>
      </c>
      <c r="S66" s="202">
        <v>1E-3</v>
      </c>
      <c r="T66" s="201"/>
      <c r="U66" s="201"/>
      <c r="V66" s="201"/>
      <c r="W66" s="201"/>
      <c r="X66" s="201"/>
      <c r="Y66" s="201"/>
      <c r="Z66" s="201"/>
      <c r="AA66" s="201"/>
      <c r="AE66" t="s">
        <v>232</v>
      </c>
      <c r="AF66" t="s">
        <v>455</v>
      </c>
    </row>
    <row r="67" spans="2:32" x14ac:dyDescent="0.2">
      <c r="B67" s="85"/>
      <c r="C67" s="201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E67" t="s">
        <v>233</v>
      </c>
    </row>
    <row r="68" spans="2:32" x14ac:dyDescent="0.2">
      <c r="B68" s="85" t="s">
        <v>233</v>
      </c>
      <c r="C68" s="201">
        <v>-3.6999999999999998E-2</v>
      </c>
      <c r="D68" s="201">
        <v>-0.41</v>
      </c>
      <c r="E68" s="201">
        <v>-0.24</v>
      </c>
      <c r="F68" s="201">
        <v>0.32200000000000001</v>
      </c>
      <c r="G68" s="201">
        <v>0.28299999999999997</v>
      </c>
      <c r="H68" s="201">
        <v>5.3999999999999999E-2</v>
      </c>
      <c r="I68" s="201">
        <v>-4.7E-2</v>
      </c>
      <c r="J68" s="201">
        <v>-0.317</v>
      </c>
      <c r="K68" s="201">
        <v>-0.23400000000000001</v>
      </c>
      <c r="L68" s="201">
        <v>-5.3999999999999999E-2</v>
      </c>
      <c r="M68" s="201">
        <v>-0.23300000000000001</v>
      </c>
      <c r="N68" s="202">
        <v>0.96699999999999997</v>
      </c>
      <c r="O68" s="202">
        <v>0.97</v>
      </c>
      <c r="P68" s="201">
        <v>0.158</v>
      </c>
      <c r="Q68" s="201">
        <v>0.76800000000000002</v>
      </c>
      <c r="R68" s="201">
        <v>0.47899999999999998</v>
      </c>
      <c r="S68" s="202">
        <v>0.92500000000000004</v>
      </c>
      <c r="T68" s="202">
        <v>0.79300000000000004</v>
      </c>
      <c r="U68" s="201"/>
      <c r="V68" s="201"/>
      <c r="W68" s="201"/>
      <c r="X68" s="201"/>
      <c r="Y68" s="201"/>
      <c r="Z68" s="201"/>
      <c r="AA68" s="201"/>
      <c r="AE68" t="s">
        <v>234</v>
      </c>
    </row>
    <row r="69" spans="2:32" x14ac:dyDescent="0.2">
      <c r="B69" s="85"/>
      <c r="C69" s="201">
        <v>0.91400000000000003</v>
      </c>
      <c r="D69" s="201">
        <v>0.21</v>
      </c>
      <c r="E69" s="201">
        <v>0.47699999999999998</v>
      </c>
      <c r="F69" s="201">
        <v>0.33400000000000002</v>
      </c>
      <c r="G69" s="201">
        <v>0.39900000000000002</v>
      </c>
      <c r="H69" s="201">
        <v>0.874</v>
      </c>
      <c r="I69" s="201">
        <v>0.89</v>
      </c>
      <c r="J69" s="201">
        <v>0.34200000000000003</v>
      </c>
      <c r="K69" s="201">
        <v>0.48899999999999999</v>
      </c>
      <c r="L69" s="201">
        <v>0.875</v>
      </c>
      <c r="M69" s="201">
        <v>0.49099999999999999</v>
      </c>
      <c r="N69" s="202">
        <v>0</v>
      </c>
      <c r="O69" s="202">
        <v>0</v>
      </c>
      <c r="P69" s="201">
        <v>0.64300000000000002</v>
      </c>
      <c r="Q69" s="201">
        <v>6.0000000000000001E-3</v>
      </c>
      <c r="R69" s="201">
        <v>0.13600000000000001</v>
      </c>
      <c r="S69" s="202">
        <v>0</v>
      </c>
      <c r="T69" s="202">
        <v>4.0000000000000001E-3</v>
      </c>
      <c r="U69" s="201"/>
      <c r="V69" s="201"/>
      <c r="W69" s="201"/>
      <c r="X69" s="201"/>
      <c r="Y69" s="201"/>
      <c r="Z69" s="201"/>
      <c r="AA69" s="201"/>
    </row>
    <row r="70" spans="2:32" x14ac:dyDescent="0.2">
      <c r="B70" s="85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</row>
    <row r="71" spans="2:32" x14ac:dyDescent="0.2">
      <c r="B71" s="85" t="s">
        <v>234</v>
      </c>
      <c r="C71" s="201">
        <v>0.17100000000000001</v>
      </c>
      <c r="D71" s="201">
        <v>-0.33200000000000002</v>
      </c>
      <c r="E71" s="201">
        <v>-0.17799999999999999</v>
      </c>
      <c r="F71" s="201">
        <v>0.27100000000000002</v>
      </c>
      <c r="G71" s="201">
        <v>0.14699999999999999</v>
      </c>
      <c r="H71" s="201">
        <v>7.0000000000000007E-2</v>
      </c>
      <c r="I71" s="201">
        <v>-0.17</v>
      </c>
      <c r="J71" s="201">
        <v>-0.22800000000000001</v>
      </c>
      <c r="K71" s="201">
        <v>-0.13700000000000001</v>
      </c>
      <c r="L71" s="201">
        <v>-2.5999999999999999E-2</v>
      </c>
      <c r="M71" s="201">
        <v>-0.17399999999999999</v>
      </c>
      <c r="N71" s="202">
        <v>0.996</v>
      </c>
      <c r="O71" s="202">
        <v>0.92300000000000004</v>
      </c>
      <c r="P71" s="201">
        <v>6.8000000000000005E-2</v>
      </c>
      <c r="Q71" s="202">
        <v>0.78300000000000003</v>
      </c>
      <c r="R71" s="201">
        <v>0.55300000000000005</v>
      </c>
      <c r="S71" s="202">
        <v>0.94199999999999995</v>
      </c>
      <c r="T71" s="202">
        <v>0.88300000000000001</v>
      </c>
      <c r="U71" s="202">
        <v>0.95399999999999996</v>
      </c>
      <c r="V71" s="201"/>
      <c r="W71" s="201"/>
      <c r="X71" s="201"/>
      <c r="Y71" s="201"/>
      <c r="Z71" s="201"/>
      <c r="AA71" s="201"/>
      <c r="AD71" t="s">
        <v>227</v>
      </c>
      <c r="AE71" t="s">
        <v>229</v>
      </c>
      <c r="AF71" t="s">
        <v>457</v>
      </c>
    </row>
    <row r="72" spans="2:32" x14ac:dyDescent="0.2">
      <c r="B72" s="85"/>
      <c r="C72" s="201">
        <v>0.61499999999999999</v>
      </c>
      <c r="D72" s="201">
        <v>0.318</v>
      </c>
      <c r="E72" s="201">
        <v>0.60099999999999998</v>
      </c>
      <c r="F72" s="201">
        <v>0.42099999999999999</v>
      </c>
      <c r="G72" s="201">
        <v>0.66600000000000004</v>
      </c>
      <c r="H72" s="201">
        <v>0.83699999999999997</v>
      </c>
      <c r="I72" s="201">
        <v>0.61699999999999999</v>
      </c>
      <c r="J72" s="201">
        <v>0.5</v>
      </c>
      <c r="K72" s="201">
        <v>0.68799999999999994</v>
      </c>
      <c r="L72" s="201">
        <v>0.93899999999999995</v>
      </c>
      <c r="M72" s="201">
        <v>0.60899999999999999</v>
      </c>
      <c r="N72" s="202">
        <v>0</v>
      </c>
      <c r="O72" s="202">
        <v>0</v>
      </c>
      <c r="P72" s="201">
        <v>0.84299999999999997</v>
      </c>
      <c r="Q72" s="202">
        <v>4.0000000000000001E-3</v>
      </c>
      <c r="R72" s="201">
        <v>7.8E-2</v>
      </c>
      <c r="S72" s="202">
        <v>0</v>
      </c>
      <c r="T72" s="202">
        <v>0</v>
      </c>
      <c r="U72" s="202">
        <v>0</v>
      </c>
      <c r="V72" s="201"/>
      <c r="W72" s="201"/>
      <c r="X72" s="201"/>
      <c r="Y72" s="201"/>
      <c r="Z72" s="201"/>
      <c r="AA72" s="201"/>
      <c r="AE72" t="s">
        <v>234</v>
      </c>
    </row>
    <row r="73" spans="2:32" x14ac:dyDescent="0.2">
      <c r="B73" s="85"/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1"/>
      <c r="W73" s="201"/>
      <c r="X73" s="201"/>
      <c r="Y73" s="201"/>
      <c r="Z73" s="201"/>
      <c r="AA73" s="201"/>
    </row>
    <row r="74" spans="2:32" x14ac:dyDescent="0.2">
      <c r="B74" s="85" t="s">
        <v>155</v>
      </c>
      <c r="C74" s="201">
        <v>0.58399999999999996</v>
      </c>
      <c r="D74" s="201">
        <v>0.66700000000000004</v>
      </c>
      <c r="E74" s="201">
        <v>0.86099999999999999</v>
      </c>
      <c r="F74" s="201">
        <v>-0.107</v>
      </c>
      <c r="G74" s="201">
        <v>-7.5999999999999998E-2</v>
      </c>
      <c r="H74" s="201">
        <v>8.5000000000000006E-2</v>
      </c>
      <c r="I74" s="201">
        <v>-3.5000000000000003E-2</v>
      </c>
      <c r="J74" s="202">
        <v>0.80600000000000005</v>
      </c>
      <c r="K74" s="202">
        <v>0.76700000000000002</v>
      </c>
      <c r="L74" s="202">
        <v>0.873</v>
      </c>
      <c r="M74" s="202">
        <v>0.84699999999999998</v>
      </c>
      <c r="N74" s="201">
        <v>-0.20300000000000001</v>
      </c>
      <c r="O74" s="201">
        <v>-0.17899999999999999</v>
      </c>
      <c r="P74" s="201">
        <v>0.35799999999999998</v>
      </c>
      <c r="Q74" s="201">
        <v>0.374</v>
      </c>
      <c r="R74" s="201">
        <v>0.621</v>
      </c>
      <c r="S74" s="201">
        <v>-0.38600000000000001</v>
      </c>
      <c r="T74" s="201">
        <v>-0.29299999999999998</v>
      </c>
      <c r="U74" s="201">
        <v>-0.23200000000000001</v>
      </c>
      <c r="V74" s="201">
        <v>-0.16200000000000001</v>
      </c>
      <c r="W74" s="201"/>
      <c r="X74" s="201"/>
      <c r="Y74" s="201"/>
      <c r="Z74" s="201"/>
      <c r="AA74" s="201"/>
      <c r="AD74" t="s">
        <v>233</v>
      </c>
      <c r="AE74" t="s">
        <v>234</v>
      </c>
      <c r="AF74" t="s">
        <v>454</v>
      </c>
    </row>
    <row r="75" spans="2:32" x14ac:dyDescent="0.2">
      <c r="B75" s="85"/>
      <c r="C75" s="201">
        <v>5.8999999999999997E-2</v>
      </c>
      <c r="D75" s="201">
        <v>2.5000000000000001E-2</v>
      </c>
      <c r="E75" s="201">
        <v>1E-3</v>
      </c>
      <c r="F75" s="201">
        <v>0.754</v>
      </c>
      <c r="G75" s="201">
        <v>0.82299999999999995</v>
      </c>
      <c r="H75" s="201">
        <v>0.80500000000000005</v>
      </c>
      <c r="I75" s="201">
        <v>0.91800000000000004</v>
      </c>
      <c r="J75" s="202">
        <v>3.0000000000000001E-3</v>
      </c>
      <c r="K75" s="202">
        <v>6.0000000000000001E-3</v>
      </c>
      <c r="L75" s="202">
        <v>0</v>
      </c>
      <c r="M75" s="202">
        <v>1E-3</v>
      </c>
      <c r="N75" s="201">
        <v>0.55000000000000004</v>
      </c>
      <c r="O75" s="201">
        <v>0.59799999999999998</v>
      </c>
      <c r="P75" s="201">
        <v>0.28000000000000003</v>
      </c>
      <c r="Q75" s="201">
        <v>0.25700000000000001</v>
      </c>
      <c r="R75" s="201">
        <v>4.1000000000000002E-2</v>
      </c>
      <c r="S75" s="201">
        <v>0.24099999999999999</v>
      </c>
      <c r="T75" s="201">
        <v>0.38100000000000001</v>
      </c>
      <c r="U75" s="201">
        <v>0.49299999999999999</v>
      </c>
      <c r="V75" s="201">
        <v>0.63400000000000001</v>
      </c>
      <c r="W75" s="201"/>
      <c r="X75" s="201"/>
      <c r="Y75" s="201"/>
      <c r="Z75" s="201"/>
      <c r="AA75" s="201"/>
    </row>
    <row r="76" spans="2:32" x14ac:dyDescent="0.2">
      <c r="B76" s="85"/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</row>
    <row r="77" spans="2:32" x14ac:dyDescent="0.2">
      <c r="B77" s="85" t="s">
        <v>157</v>
      </c>
      <c r="C77" s="201">
        <v>0.27900000000000003</v>
      </c>
      <c r="D77" s="201">
        <v>0.26500000000000001</v>
      </c>
      <c r="E77" s="201">
        <v>0.47099999999999997</v>
      </c>
      <c r="F77" s="201">
        <v>-0.45900000000000002</v>
      </c>
      <c r="G77" s="201">
        <v>0.29799999999999999</v>
      </c>
      <c r="H77" s="201">
        <v>0.83899999999999997</v>
      </c>
      <c r="I77" s="201">
        <v>0.28199999999999997</v>
      </c>
      <c r="J77" s="201">
        <v>0.38700000000000001</v>
      </c>
      <c r="K77" s="201">
        <v>0.57299999999999995</v>
      </c>
      <c r="L77" s="201">
        <v>0.46400000000000002</v>
      </c>
      <c r="M77" s="201">
        <v>0.68200000000000005</v>
      </c>
      <c r="N77" s="201">
        <v>-0.104</v>
      </c>
      <c r="O77" s="201">
        <v>-0.1</v>
      </c>
      <c r="P77" s="201">
        <v>0.436</v>
      </c>
      <c r="Q77" s="201">
        <v>0.308</v>
      </c>
      <c r="R77" s="201">
        <v>0.58099999999999996</v>
      </c>
      <c r="S77" s="201">
        <v>-0.29899999999999999</v>
      </c>
      <c r="T77" s="201">
        <v>6.0999999999999999E-2</v>
      </c>
      <c r="U77" s="201">
        <v>-0.17399999999999999</v>
      </c>
      <c r="V77" s="201">
        <v>-0.109</v>
      </c>
      <c r="W77" s="201">
        <v>0.42599999999999999</v>
      </c>
      <c r="X77" s="201"/>
      <c r="Y77" s="201"/>
      <c r="Z77" s="201"/>
      <c r="AA77" s="201"/>
    </row>
    <row r="78" spans="2:32" x14ac:dyDescent="0.2">
      <c r="B78" s="85"/>
      <c r="C78" s="201">
        <v>0.40600000000000003</v>
      </c>
      <c r="D78" s="201">
        <v>0.43099999999999999</v>
      </c>
      <c r="E78" s="201">
        <v>0.14399999999999999</v>
      </c>
      <c r="F78" s="201">
        <v>0.155</v>
      </c>
      <c r="G78" s="201">
        <v>0.373</v>
      </c>
      <c r="H78" s="201">
        <v>1E-3</v>
      </c>
      <c r="I78" s="201">
        <v>0.40100000000000002</v>
      </c>
      <c r="J78" s="201">
        <v>0.23899999999999999</v>
      </c>
      <c r="K78" s="201">
        <v>6.5000000000000002E-2</v>
      </c>
      <c r="L78" s="201">
        <v>0.15</v>
      </c>
      <c r="M78" s="201">
        <v>2.1000000000000001E-2</v>
      </c>
      <c r="N78" s="201">
        <v>0.76100000000000001</v>
      </c>
      <c r="O78" s="201">
        <v>0.76900000000000002</v>
      </c>
      <c r="P78" s="201">
        <v>0.18</v>
      </c>
      <c r="Q78" s="201">
        <v>0.35599999999999998</v>
      </c>
      <c r="R78" s="201">
        <v>6.0999999999999999E-2</v>
      </c>
      <c r="S78" s="201">
        <v>0.371</v>
      </c>
      <c r="T78" s="201">
        <v>0.85899999999999999</v>
      </c>
      <c r="U78" s="201">
        <v>0.60899999999999999</v>
      </c>
      <c r="V78" s="201">
        <v>0.75</v>
      </c>
      <c r="W78" s="201">
        <v>0.191</v>
      </c>
      <c r="X78" s="201"/>
      <c r="Y78" s="201"/>
      <c r="Z78" s="201"/>
      <c r="AA78" s="201"/>
    </row>
    <row r="79" spans="2:32" x14ac:dyDescent="0.2">
      <c r="B79" s="85"/>
      <c r="C79" s="201"/>
      <c r="D79" s="201"/>
      <c r="E79" s="201"/>
      <c r="F79" s="201"/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1"/>
      <c r="W79" s="201"/>
      <c r="X79" s="201"/>
      <c r="Y79" s="201"/>
      <c r="Z79" s="201"/>
      <c r="AA79" s="201"/>
    </row>
    <row r="80" spans="2:32" x14ac:dyDescent="0.2">
      <c r="B80" s="85" t="s">
        <v>154</v>
      </c>
      <c r="C80" s="201">
        <v>0.53500000000000003</v>
      </c>
      <c r="D80" s="201">
        <v>0.61299999999999999</v>
      </c>
      <c r="E80" s="202">
        <v>0.88900000000000001</v>
      </c>
      <c r="F80" s="201">
        <v>-0.17299999999999999</v>
      </c>
      <c r="G80" s="201">
        <v>0.115</v>
      </c>
      <c r="H80" s="201">
        <v>0.35799999999999998</v>
      </c>
      <c r="I80" s="201">
        <v>0.23899999999999999</v>
      </c>
      <c r="J80" s="202">
        <v>0.76</v>
      </c>
      <c r="K80" s="201">
        <v>0.77300000000000002</v>
      </c>
      <c r="L80" s="202">
        <v>0.96599999999999997</v>
      </c>
      <c r="M80" s="202">
        <v>0.92600000000000005</v>
      </c>
      <c r="N80" s="201">
        <v>-5.8000000000000003E-2</v>
      </c>
      <c r="O80" s="201">
        <v>-1.9E-2</v>
      </c>
      <c r="P80" s="201">
        <v>0.52300000000000002</v>
      </c>
      <c r="Q80" s="201">
        <v>0.55800000000000005</v>
      </c>
      <c r="R80" s="201">
        <v>0.70899999999999996</v>
      </c>
      <c r="S80" s="201">
        <v>-0.28399999999999997</v>
      </c>
      <c r="T80" s="201">
        <v>-8.8999999999999996E-2</v>
      </c>
      <c r="U80" s="201">
        <v>-5.1999999999999998E-2</v>
      </c>
      <c r="V80" s="201">
        <v>-4.1000000000000002E-2</v>
      </c>
      <c r="W80" s="201">
        <v>0.88500000000000001</v>
      </c>
      <c r="X80" s="201">
        <v>0.56799999999999995</v>
      </c>
      <c r="Y80" s="201"/>
      <c r="Z80" s="201"/>
      <c r="AA80" s="201"/>
    </row>
    <row r="81" spans="2:27" x14ac:dyDescent="0.2">
      <c r="B81" s="85"/>
      <c r="C81" s="201">
        <v>0.09</v>
      </c>
      <c r="D81" s="201">
        <v>4.4999999999999998E-2</v>
      </c>
      <c r="E81" s="202">
        <v>0</v>
      </c>
      <c r="F81" s="201">
        <v>0.61199999999999999</v>
      </c>
      <c r="G81" s="201">
        <v>0.73599999999999999</v>
      </c>
      <c r="H81" s="201">
        <v>0.28000000000000003</v>
      </c>
      <c r="I81" s="201">
        <v>0.47799999999999998</v>
      </c>
      <c r="J81" s="202">
        <v>7.0000000000000001E-3</v>
      </c>
      <c r="K81" s="201">
        <v>5.0000000000000001E-3</v>
      </c>
      <c r="L81" s="202">
        <v>0</v>
      </c>
      <c r="M81" s="202">
        <v>0</v>
      </c>
      <c r="N81" s="201">
        <v>0.86499999999999999</v>
      </c>
      <c r="O81" s="201">
        <v>0.95699999999999996</v>
      </c>
      <c r="P81" s="201">
        <v>9.9000000000000005E-2</v>
      </c>
      <c r="Q81" s="201">
        <v>7.3999999999999996E-2</v>
      </c>
      <c r="R81" s="201">
        <v>1.4999999999999999E-2</v>
      </c>
      <c r="S81" s="201">
        <v>0.39700000000000002</v>
      </c>
      <c r="T81" s="201">
        <v>0.79500000000000004</v>
      </c>
      <c r="U81" s="201">
        <v>0.88</v>
      </c>
      <c r="V81" s="201">
        <v>0.90500000000000003</v>
      </c>
      <c r="W81" s="201">
        <v>0</v>
      </c>
      <c r="X81" s="201">
        <v>6.8000000000000005E-2</v>
      </c>
      <c r="Y81" s="201"/>
      <c r="Z81" s="201"/>
      <c r="AA81" s="201"/>
    </row>
    <row r="82" spans="2:27" x14ac:dyDescent="0.2">
      <c r="B82" s="85"/>
      <c r="C82" s="201"/>
      <c r="D82" s="201"/>
      <c r="E82" s="201"/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1"/>
      <c r="W82" s="201"/>
      <c r="X82" s="201"/>
      <c r="Y82" s="201"/>
      <c r="Z82" s="201"/>
      <c r="AA82" s="201"/>
    </row>
    <row r="83" spans="2:27" x14ac:dyDescent="0.2">
      <c r="B83" s="85" t="s">
        <v>74</v>
      </c>
      <c r="C83" s="201">
        <v>0.378</v>
      </c>
      <c r="D83" s="201">
        <v>0.44700000000000001</v>
      </c>
      <c r="E83" s="201">
        <v>0.69</v>
      </c>
      <c r="F83" s="201">
        <v>-0.30599999999999999</v>
      </c>
      <c r="G83" s="201">
        <v>0.17599999999999999</v>
      </c>
      <c r="H83" s="201">
        <v>0.77100000000000002</v>
      </c>
      <c r="I83" s="201">
        <v>0.248</v>
      </c>
      <c r="J83" s="201">
        <v>0.58499999999999996</v>
      </c>
      <c r="K83" s="201">
        <v>0.72199999999999998</v>
      </c>
      <c r="L83" s="202">
        <v>0.71099999999999997</v>
      </c>
      <c r="M83" s="202">
        <v>0.874</v>
      </c>
      <c r="N83" s="201">
        <v>-0.10199999999999999</v>
      </c>
      <c r="O83" s="201">
        <v>-0.08</v>
      </c>
      <c r="P83" s="201">
        <v>0.61899999999999999</v>
      </c>
      <c r="Q83" s="201">
        <v>0.40899999999999997</v>
      </c>
      <c r="R83" s="201">
        <v>0.69099999999999995</v>
      </c>
      <c r="S83" s="201">
        <v>-0.315</v>
      </c>
      <c r="T83" s="201">
        <v>1.7000000000000001E-2</v>
      </c>
      <c r="U83" s="201">
        <v>-0.157</v>
      </c>
      <c r="V83" s="201">
        <v>-0.1</v>
      </c>
      <c r="W83" s="201">
        <v>0.67</v>
      </c>
      <c r="X83" s="202">
        <v>0.91700000000000004</v>
      </c>
      <c r="Y83" s="202">
        <v>0.80400000000000005</v>
      </c>
      <c r="Z83" s="201"/>
      <c r="AA83" s="201"/>
    </row>
    <row r="84" spans="2:27" x14ac:dyDescent="0.2">
      <c r="B84" s="85"/>
      <c r="C84" s="201">
        <v>0.252</v>
      </c>
      <c r="D84" s="201">
        <v>0.16800000000000001</v>
      </c>
      <c r="E84" s="201">
        <v>1.9E-2</v>
      </c>
      <c r="F84" s="201">
        <v>0.36</v>
      </c>
      <c r="G84" s="201">
        <v>0.60399999999999998</v>
      </c>
      <c r="H84" s="201">
        <v>6.0000000000000001E-3</v>
      </c>
      <c r="I84" s="201">
        <v>0.46200000000000002</v>
      </c>
      <c r="J84" s="201">
        <v>5.8999999999999997E-2</v>
      </c>
      <c r="K84" s="201">
        <v>1.2E-2</v>
      </c>
      <c r="L84" s="202">
        <v>1.4E-2</v>
      </c>
      <c r="M84" s="202">
        <v>0</v>
      </c>
      <c r="N84" s="201">
        <v>0.76500000000000001</v>
      </c>
      <c r="O84" s="201">
        <v>0.81599999999999995</v>
      </c>
      <c r="P84" s="201">
        <v>4.2000000000000003E-2</v>
      </c>
      <c r="Q84" s="201">
        <v>0.21199999999999999</v>
      </c>
      <c r="R84" s="201">
        <v>1.9E-2</v>
      </c>
      <c r="S84" s="201">
        <v>0.34599999999999997</v>
      </c>
      <c r="T84" s="201">
        <v>0.96099999999999997</v>
      </c>
      <c r="U84" s="201">
        <v>0.64400000000000002</v>
      </c>
      <c r="V84" s="201">
        <v>0.77100000000000002</v>
      </c>
      <c r="W84" s="201">
        <v>2.4E-2</v>
      </c>
      <c r="X84" s="202">
        <v>0</v>
      </c>
      <c r="Y84" s="202">
        <v>3.0000000000000001E-3</v>
      </c>
      <c r="Z84" s="201"/>
      <c r="AA84" s="201"/>
    </row>
    <row r="85" spans="2:27" x14ac:dyDescent="0.2">
      <c r="B85" s="85"/>
      <c r="C85" s="201"/>
      <c r="D85" s="201"/>
      <c r="E85" s="201"/>
      <c r="F85" s="201"/>
      <c r="G85" s="201"/>
      <c r="H85" s="201"/>
      <c r="I85" s="201"/>
      <c r="J85" s="201"/>
      <c r="K85" s="201"/>
      <c r="L85" s="201"/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</row>
    <row r="86" spans="2:27" x14ac:dyDescent="0.2">
      <c r="B86" s="85" t="s">
        <v>34</v>
      </c>
      <c r="C86" s="201">
        <v>0.308</v>
      </c>
      <c r="D86" s="201">
        <v>0.33900000000000002</v>
      </c>
      <c r="E86" s="201">
        <v>0.38200000000000001</v>
      </c>
      <c r="F86" s="201">
        <v>0.30099999999999999</v>
      </c>
      <c r="G86" s="201">
        <v>-0.04</v>
      </c>
      <c r="H86" s="201">
        <v>0.06</v>
      </c>
      <c r="I86" s="201">
        <v>-0.187</v>
      </c>
      <c r="J86" s="201">
        <v>0.42299999999999999</v>
      </c>
      <c r="K86" s="201">
        <v>0.48</v>
      </c>
      <c r="L86" s="201">
        <v>0.42799999999999999</v>
      </c>
      <c r="M86" s="201">
        <v>0.38400000000000001</v>
      </c>
      <c r="N86" s="201">
        <v>0.48799999999999999</v>
      </c>
      <c r="O86" s="201">
        <v>0.56699999999999995</v>
      </c>
      <c r="P86" s="201">
        <v>0.49299999999999999</v>
      </c>
      <c r="Q86" s="201">
        <v>0.61099999999999999</v>
      </c>
      <c r="R86" s="201">
        <v>0.72299999999999998</v>
      </c>
      <c r="S86" s="201">
        <v>0.39100000000000001</v>
      </c>
      <c r="T86" s="201">
        <v>0.28999999999999998</v>
      </c>
      <c r="U86" s="201">
        <v>0.45400000000000001</v>
      </c>
      <c r="V86" s="201">
        <v>0.52800000000000002</v>
      </c>
      <c r="W86" s="201">
        <v>0.46500000000000002</v>
      </c>
      <c r="X86" s="201">
        <v>8.3000000000000004E-2</v>
      </c>
      <c r="Y86" s="201">
        <v>0.35799999999999998</v>
      </c>
      <c r="Z86" s="201">
        <v>0.26700000000000002</v>
      </c>
      <c r="AA86" s="201"/>
    </row>
    <row r="87" spans="2:27" x14ac:dyDescent="0.2">
      <c r="B87" s="85"/>
      <c r="C87" s="201">
        <v>0.35699999999999998</v>
      </c>
      <c r="D87" s="201">
        <v>0.308</v>
      </c>
      <c r="E87" s="201">
        <v>0.246</v>
      </c>
      <c r="F87" s="201">
        <v>0.36799999999999999</v>
      </c>
      <c r="G87" s="201">
        <v>0.90800000000000003</v>
      </c>
      <c r="H87" s="201">
        <v>0.86199999999999999</v>
      </c>
      <c r="I87" s="201">
        <v>0.58099999999999996</v>
      </c>
      <c r="J87" s="201">
        <v>0.19500000000000001</v>
      </c>
      <c r="K87" s="201">
        <v>0.13500000000000001</v>
      </c>
      <c r="L87" s="201">
        <v>0.189</v>
      </c>
      <c r="M87" s="201">
        <v>0.24299999999999999</v>
      </c>
      <c r="N87" s="201">
        <v>0.128</v>
      </c>
      <c r="O87" s="201">
        <v>6.9000000000000006E-2</v>
      </c>
      <c r="P87" s="201">
        <v>0.123</v>
      </c>
      <c r="Q87" s="201">
        <v>4.5999999999999999E-2</v>
      </c>
      <c r="R87" s="201">
        <v>1.2E-2</v>
      </c>
      <c r="S87" s="201">
        <v>0.23499999999999999</v>
      </c>
      <c r="T87" s="201">
        <v>0.38700000000000001</v>
      </c>
      <c r="U87" s="201">
        <v>0.16</v>
      </c>
      <c r="V87" s="201">
        <v>9.5000000000000001E-2</v>
      </c>
      <c r="W87" s="201">
        <v>0.14899999999999999</v>
      </c>
      <c r="X87" s="201">
        <v>0.80900000000000005</v>
      </c>
      <c r="Y87" s="201">
        <v>0.27900000000000003</v>
      </c>
      <c r="Z87" s="201">
        <v>0.42699999999999999</v>
      </c>
      <c r="AA87" s="201"/>
    </row>
    <row r="88" spans="2:27" x14ac:dyDescent="0.2">
      <c r="B88" s="85"/>
      <c r="C88" s="201"/>
      <c r="D88" s="201"/>
      <c r="E88" s="201"/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1"/>
      <c r="Q88" s="201"/>
      <c r="R88" s="201"/>
      <c r="S88" s="201"/>
      <c r="T88" s="201"/>
      <c r="U88" s="201"/>
      <c r="V88" s="201"/>
      <c r="W88" s="201"/>
      <c r="X88" s="201"/>
      <c r="Y88" s="201"/>
      <c r="Z88" s="201"/>
      <c r="AA88" s="201"/>
    </row>
    <row r="89" spans="2:27" x14ac:dyDescent="0.2">
      <c r="B89" s="85" t="s">
        <v>197</v>
      </c>
      <c r="C89" s="201">
        <v>0.252</v>
      </c>
      <c r="D89" s="201">
        <v>0.41499999999999998</v>
      </c>
      <c r="E89" s="201">
        <v>0.45700000000000002</v>
      </c>
      <c r="F89" s="201">
        <v>0.31</v>
      </c>
      <c r="G89" s="201">
        <v>0.04</v>
      </c>
      <c r="H89" s="201">
        <v>0.19700000000000001</v>
      </c>
      <c r="I89" s="201">
        <v>-4.8000000000000001E-2</v>
      </c>
      <c r="J89" s="201">
        <v>0.49199999999999999</v>
      </c>
      <c r="K89" s="201">
        <v>0.56699999999999995</v>
      </c>
      <c r="L89" s="201">
        <v>0.49</v>
      </c>
      <c r="M89" s="201">
        <v>0.49199999999999999</v>
      </c>
      <c r="N89" s="201">
        <v>0.38200000000000001</v>
      </c>
      <c r="O89" s="201">
        <v>0.51300000000000001</v>
      </c>
      <c r="P89" s="201">
        <v>0.64800000000000002</v>
      </c>
      <c r="Q89" s="201">
        <v>0.56999999999999995</v>
      </c>
      <c r="R89" s="202">
        <v>0.72899999999999998</v>
      </c>
      <c r="S89" s="201">
        <v>0.26100000000000001</v>
      </c>
      <c r="T89" s="201">
        <v>0.191</v>
      </c>
      <c r="U89" s="201">
        <v>0.36599999999999999</v>
      </c>
      <c r="V89" s="201">
        <v>0.41299999999999998</v>
      </c>
      <c r="W89" s="201">
        <v>0.504</v>
      </c>
      <c r="X89" s="201">
        <v>0.20799999999999999</v>
      </c>
      <c r="Y89" s="201">
        <v>0.432</v>
      </c>
      <c r="Z89" s="201">
        <v>0.39700000000000002</v>
      </c>
      <c r="AA89" s="202">
        <v>0.97499999999999998</v>
      </c>
    </row>
    <row r="90" spans="2:27" x14ac:dyDescent="0.2">
      <c r="B90" s="85"/>
      <c r="C90" s="201">
        <v>0.45400000000000001</v>
      </c>
      <c r="D90" s="201">
        <v>0.20399999999999999</v>
      </c>
      <c r="E90" s="201">
        <v>0.158</v>
      </c>
      <c r="F90" s="201">
        <v>0.35299999999999998</v>
      </c>
      <c r="G90" s="201">
        <v>0.90700000000000003</v>
      </c>
      <c r="H90" s="201">
        <v>0.56100000000000005</v>
      </c>
      <c r="I90" s="201">
        <v>0.88800000000000001</v>
      </c>
      <c r="J90" s="201">
        <v>0.125</v>
      </c>
      <c r="K90" s="201">
        <v>6.9000000000000006E-2</v>
      </c>
      <c r="L90" s="201">
        <v>0.126</v>
      </c>
      <c r="M90" s="201">
        <v>0.124</v>
      </c>
      <c r="N90" s="201">
        <v>0.246</v>
      </c>
      <c r="O90" s="201">
        <v>0.107</v>
      </c>
      <c r="P90" s="201">
        <v>3.1E-2</v>
      </c>
      <c r="Q90" s="201">
        <v>6.7000000000000004E-2</v>
      </c>
      <c r="R90" s="202">
        <v>1.0999999999999999E-2</v>
      </c>
      <c r="S90" s="201">
        <v>0.439</v>
      </c>
      <c r="T90" s="201">
        <v>0.57299999999999995</v>
      </c>
      <c r="U90" s="201">
        <v>0.26800000000000002</v>
      </c>
      <c r="V90" s="201">
        <v>0.20699999999999999</v>
      </c>
      <c r="W90" s="201">
        <v>0.114</v>
      </c>
      <c r="X90" s="201">
        <v>0.53900000000000003</v>
      </c>
      <c r="Y90" s="201">
        <v>0.185</v>
      </c>
      <c r="Z90" s="201">
        <v>0.22600000000000001</v>
      </c>
      <c r="AA90" s="202">
        <v>0</v>
      </c>
    </row>
    <row r="97" spans="3:28" ht="15" x14ac:dyDescent="0.25">
      <c r="C97" s="203"/>
      <c r="D97" s="204"/>
      <c r="E97" s="205"/>
      <c r="F97" s="205"/>
      <c r="G97" s="206"/>
      <c r="H97" s="206"/>
      <c r="I97" s="203"/>
      <c r="J97" s="203"/>
      <c r="K97" s="203"/>
      <c r="L97" s="203"/>
      <c r="M97" s="203"/>
      <c r="N97" s="203"/>
      <c r="O97" s="203"/>
      <c r="P97" s="203"/>
      <c r="Q97" s="206"/>
      <c r="R97" s="206"/>
      <c r="S97" s="206"/>
      <c r="T97" s="206"/>
      <c r="U97" s="206"/>
      <c r="V97" s="206"/>
      <c r="W97" s="203"/>
      <c r="X97" s="203"/>
      <c r="Y97" s="203"/>
      <c r="Z97" s="206"/>
      <c r="AA97" s="203"/>
      <c r="AB97" s="205"/>
    </row>
    <row r="98" spans="3:28" x14ac:dyDescent="0.2">
      <c r="D98" t="s">
        <v>458</v>
      </c>
      <c r="E98" t="s">
        <v>459</v>
      </c>
      <c r="F98" t="s">
        <v>460</v>
      </c>
      <c r="G98" s="85" t="s">
        <v>458</v>
      </c>
      <c r="H98" s="85" t="s">
        <v>459</v>
      </c>
      <c r="I98" s="85" t="s">
        <v>460</v>
      </c>
    </row>
    <row r="99" spans="3:28" ht="15" x14ac:dyDescent="0.25">
      <c r="C99" s="203" t="s">
        <v>441</v>
      </c>
      <c r="D99" s="207">
        <v>0.19728492780030241</v>
      </c>
      <c r="E99" s="207">
        <v>-2.1125046705739999E-2</v>
      </c>
      <c r="F99" s="207">
        <v>-0.2509099723313975</v>
      </c>
      <c r="G99" s="207">
        <v>-2.8925928800088525</v>
      </c>
      <c r="H99" s="207">
        <v>-0.1803324649362445</v>
      </c>
      <c r="I99" s="207">
        <v>0.94530315293936051</v>
      </c>
    </row>
    <row r="100" spans="3:28" ht="15" x14ac:dyDescent="0.25">
      <c r="C100" s="204" t="s">
        <v>70</v>
      </c>
      <c r="D100" s="207">
        <v>0.24471036452988282</v>
      </c>
      <c r="E100" s="207">
        <v>0.12620883261131302</v>
      </c>
      <c r="F100" s="207">
        <v>-0.19807515419202981</v>
      </c>
      <c r="G100" s="207">
        <v>-2.6156595227515496</v>
      </c>
      <c r="H100" s="207">
        <v>0.44219331528102063</v>
      </c>
      <c r="I100" s="207">
        <v>0.46825221429317371</v>
      </c>
    </row>
    <row r="101" spans="3:28" ht="15" x14ac:dyDescent="0.25">
      <c r="C101" s="205" t="s">
        <v>444</v>
      </c>
      <c r="D101" s="207">
        <v>0.29424729245748055</v>
      </c>
      <c r="E101" s="207">
        <v>6.2498576222112114E-2</v>
      </c>
      <c r="F101" s="207">
        <v>-9.9194194327337934E-2</v>
      </c>
      <c r="G101" s="207">
        <v>-3.8468222173785569</v>
      </c>
      <c r="H101" s="207">
        <v>1.0063892074568117</v>
      </c>
      <c r="I101" s="207">
        <v>0.593420135987208</v>
      </c>
    </row>
    <row r="102" spans="3:28" ht="15" x14ac:dyDescent="0.25">
      <c r="C102" s="205" t="s">
        <v>35</v>
      </c>
      <c r="D102" s="207">
        <v>-2.5420735306536081E-2</v>
      </c>
      <c r="E102" s="207">
        <v>-0.10573717008240359</v>
      </c>
      <c r="F102" s="207">
        <v>-0.27840667531066293</v>
      </c>
      <c r="G102" s="207">
        <v>-0.43727492634703646</v>
      </c>
      <c r="H102" s="207">
        <v>-7.6060610800744541</v>
      </c>
      <c r="I102" s="207">
        <v>-0.81645235280465456</v>
      </c>
    </row>
    <row r="103" spans="3:28" ht="15" x14ac:dyDescent="0.25">
      <c r="C103" s="206" t="s">
        <v>443</v>
      </c>
      <c r="D103" s="207">
        <v>2.3508060708066162E-2</v>
      </c>
      <c r="E103" s="207">
        <v>-8.3861975410028183E-2</v>
      </c>
      <c r="F103" s="207">
        <v>0.39007169282372672</v>
      </c>
      <c r="G103" s="207">
        <v>4.8487570902398147</v>
      </c>
      <c r="H103" s="207">
        <v>0.27596324834467739</v>
      </c>
      <c r="I103" s="207">
        <v>3.0379701172197464</v>
      </c>
    </row>
    <row r="104" spans="3:28" ht="15" x14ac:dyDescent="0.25">
      <c r="C104" s="206" t="s">
        <v>442</v>
      </c>
      <c r="D104" s="207">
        <v>0.13977561593696705</v>
      </c>
      <c r="E104" s="207">
        <v>-5.6639518988735121E-2</v>
      </c>
      <c r="F104" s="207">
        <v>0.39915440570242389</v>
      </c>
      <c r="G104" s="207">
        <v>2.3732930165343302</v>
      </c>
      <c r="H104" s="207">
        <v>1.2369216030057972</v>
      </c>
      <c r="I104" s="207">
        <v>1.3347316328446619</v>
      </c>
    </row>
    <row r="105" spans="3:28" ht="15" x14ac:dyDescent="0.25">
      <c r="C105" s="203" t="s">
        <v>28</v>
      </c>
      <c r="D105" s="207">
        <v>8.6688203239617193E-2</v>
      </c>
      <c r="E105" s="207">
        <v>4.4051802901760612E-2</v>
      </c>
      <c r="F105" s="207">
        <v>0.30498777199998744</v>
      </c>
      <c r="G105" s="207">
        <v>3.2066808972288676</v>
      </c>
      <c r="H105" s="207">
        <v>1.3870652561423742</v>
      </c>
      <c r="I105" s="207">
        <v>-1.5730510020277892</v>
      </c>
    </row>
    <row r="106" spans="3:28" ht="15" x14ac:dyDescent="0.25">
      <c r="C106" s="203" t="s">
        <v>266</v>
      </c>
      <c r="D106" s="207">
        <v>0.27881355606897373</v>
      </c>
      <c r="E106" s="207">
        <v>8.539039828047125E-2</v>
      </c>
      <c r="F106" s="207">
        <v>-0.17144383718067638</v>
      </c>
      <c r="G106" s="207">
        <v>-2.4792038450504608</v>
      </c>
      <c r="H106" s="207">
        <v>-0.31394221025144903</v>
      </c>
      <c r="I106" s="207">
        <v>1.4992084262901009</v>
      </c>
    </row>
    <row r="107" spans="3:28" ht="15" x14ac:dyDescent="0.25">
      <c r="C107" s="203" t="s">
        <v>268</v>
      </c>
      <c r="D107" s="207">
        <v>0.29370540324153699</v>
      </c>
      <c r="E107" s="207">
        <v>4.4320306395315388E-2</v>
      </c>
      <c r="F107" s="207">
        <v>-7.9381494525918736E-2</v>
      </c>
      <c r="G107" s="207">
        <v>4.1946576206923076</v>
      </c>
      <c r="H107" s="207">
        <v>-0.92698320990861027</v>
      </c>
      <c r="I107" s="207">
        <v>-1.8719559529583827</v>
      </c>
    </row>
    <row r="108" spans="3:28" ht="15" x14ac:dyDescent="0.25">
      <c r="C108" s="203" t="s">
        <v>269</v>
      </c>
      <c r="D108" s="207">
        <v>0.29273036816252129</v>
      </c>
      <c r="E108" s="207">
        <v>4.4828593125260306E-4</v>
      </c>
      <c r="F108" s="207">
        <v>-6.0437237173328731E-2</v>
      </c>
      <c r="G108" s="207">
        <v>-3.1668901360970336</v>
      </c>
      <c r="H108" s="207">
        <v>2.0704680034529432</v>
      </c>
      <c r="I108" s="207">
        <v>-1.8957007112149369</v>
      </c>
    </row>
    <row r="109" spans="3:28" ht="15" x14ac:dyDescent="0.25">
      <c r="C109" s="203" t="s">
        <v>267</v>
      </c>
      <c r="D109" s="207">
        <v>0.30454570821117738</v>
      </c>
      <c r="E109" s="207">
        <v>4.6431286806553902E-2</v>
      </c>
      <c r="F109" s="207">
        <v>3.4310506244309764E-2</v>
      </c>
      <c r="G109" s="207">
        <v>0.8150549029381674</v>
      </c>
      <c r="H109" s="207">
        <v>2.6083183314871352</v>
      </c>
      <c r="I109" s="207">
        <v>-1.7217256605684792</v>
      </c>
    </row>
    <row r="110" spans="3:28" ht="15" x14ac:dyDescent="0.25">
      <c r="C110" s="203" t="s">
        <v>1</v>
      </c>
      <c r="D110" s="207">
        <v>-2.1617418544141113E-2</v>
      </c>
      <c r="E110" s="207">
        <v>-0.35895875322476267</v>
      </c>
      <c r="F110" s="207">
        <v>-2.9910347771168459E-2</v>
      </c>
      <c r="G110" s="207"/>
      <c r="H110" s="207"/>
      <c r="I110" s="207"/>
    </row>
    <row r="111" spans="3:28" ht="15" x14ac:dyDescent="0.25">
      <c r="C111" s="203" t="s">
        <v>2</v>
      </c>
      <c r="D111" s="207">
        <v>-1.7862910439983399E-3</v>
      </c>
      <c r="E111" s="207">
        <v>-0.35228448333773044</v>
      </c>
      <c r="F111" s="207">
        <v>7.6402472018802818E-3</v>
      </c>
      <c r="G111" s="207"/>
      <c r="H111" s="207"/>
      <c r="I111" s="207"/>
    </row>
    <row r="112" spans="3:28" ht="15" x14ac:dyDescent="0.25">
      <c r="C112" s="203" t="s">
        <v>228</v>
      </c>
      <c r="D112" s="207">
        <v>0.17565482104812294</v>
      </c>
      <c r="E112" s="207">
        <v>-8.8086215446277205E-2</v>
      </c>
      <c r="F112" s="207">
        <v>0.18932965585851178</v>
      </c>
      <c r="G112" s="207"/>
      <c r="H112" s="207"/>
      <c r="I112" s="207"/>
    </row>
    <row r="113" spans="3:9" ht="15" x14ac:dyDescent="0.25">
      <c r="C113" s="206" t="s">
        <v>227</v>
      </c>
      <c r="D113" s="207">
        <v>0.15593240501792124</v>
      </c>
      <c r="E113" s="207">
        <v>-0.2945658585777009</v>
      </c>
      <c r="F113" s="207">
        <v>2.9451900217158076E-2</v>
      </c>
      <c r="G113" s="207"/>
      <c r="H113" s="207"/>
      <c r="I113" s="207"/>
    </row>
    <row r="114" spans="3:9" ht="15" x14ac:dyDescent="0.25">
      <c r="C114" s="206" t="s">
        <v>229</v>
      </c>
      <c r="D114" s="207">
        <v>0.22955718096224995</v>
      </c>
      <c r="E114" s="207">
        <v>-0.22043068015316011</v>
      </c>
      <c r="F114" s="207">
        <v>6.3466558049729435E-2</v>
      </c>
      <c r="G114" s="207"/>
      <c r="H114" s="207"/>
      <c r="I114" s="207"/>
    </row>
    <row r="115" spans="3:9" ht="15" x14ac:dyDescent="0.25">
      <c r="C115" s="206" t="s">
        <v>230</v>
      </c>
      <c r="D115" s="207">
        <v>-0.10224443737750319</v>
      </c>
      <c r="E115" s="207">
        <v>-0.33892648300685374</v>
      </c>
      <c r="F115" s="207">
        <v>-4.0679003783159515E-2</v>
      </c>
      <c r="G115" s="207"/>
      <c r="H115" s="207"/>
      <c r="I115" s="207"/>
    </row>
    <row r="116" spans="3:9" ht="15" x14ac:dyDescent="0.25">
      <c r="C116" s="206" t="s">
        <v>232</v>
      </c>
      <c r="D116" s="207">
        <v>-3.2943391468052009E-2</v>
      </c>
      <c r="E116" s="207">
        <v>-0.31130854631579929</v>
      </c>
      <c r="F116" s="207">
        <v>8.1541155884179442E-2</v>
      </c>
      <c r="G116" s="207"/>
      <c r="H116" s="207"/>
      <c r="I116" s="207"/>
    </row>
    <row r="117" spans="3:9" ht="15" x14ac:dyDescent="0.25">
      <c r="C117" s="206" t="s">
        <v>233</v>
      </c>
      <c r="D117" s="207">
        <v>-3.5194034197301771E-2</v>
      </c>
      <c r="E117" s="207">
        <v>-0.35468780689663071</v>
      </c>
      <c r="F117" s="207">
        <v>3.9155419915733649E-3</v>
      </c>
      <c r="G117" s="207"/>
      <c r="H117" s="207"/>
      <c r="I117" s="207"/>
    </row>
    <row r="118" spans="3:9" ht="15" x14ac:dyDescent="0.25">
      <c r="C118" s="206" t="s">
        <v>234</v>
      </c>
      <c r="D118" s="207">
        <v>-1.4356431328549557E-2</v>
      </c>
      <c r="E118" s="207">
        <v>-0.35821871999868787</v>
      </c>
      <c r="F118" s="207">
        <v>-5.6637323339026262E-2</v>
      </c>
      <c r="G118" s="207"/>
      <c r="H118" s="207"/>
      <c r="I118" s="207"/>
    </row>
    <row r="119" spans="3:9" ht="15" x14ac:dyDescent="0.25">
      <c r="C119" s="203" t="s">
        <v>155</v>
      </c>
      <c r="D119" s="207">
        <v>0.26737180691242024</v>
      </c>
      <c r="E119" s="207">
        <v>4.8701779382770233E-2</v>
      </c>
      <c r="F119" s="207">
        <v>-0.14300388975714376</v>
      </c>
      <c r="G119" s="207"/>
      <c r="H119" s="207"/>
      <c r="I119" s="207"/>
    </row>
    <row r="120" spans="3:9" ht="15" x14ac:dyDescent="0.25">
      <c r="C120" s="203" t="s">
        <v>157</v>
      </c>
      <c r="D120" s="207">
        <v>0.20239031032022312</v>
      </c>
      <c r="E120" s="207">
        <v>1.5981959174235286E-2</v>
      </c>
      <c r="F120" s="207">
        <v>0.38045792377961724</v>
      </c>
      <c r="G120" s="207"/>
      <c r="H120" s="207"/>
      <c r="I120" s="207"/>
    </row>
    <row r="121" spans="3:9" ht="15" x14ac:dyDescent="0.25">
      <c r="C121" s="203" t="s">
        <v>154</v>
      </c>
      <c r="D121" s="207">
        <v>0.28453877641329489</v>
      </c>
      <c r="E121" s="207">
        <v>-2.8389307015886643E-3</v>
      </c>
      <c r="F121" s="207">
        <v>3.6664428647450557E-2</v>
      </c>
      <c r="G121" s="207"/>
      <c r="H121" s="207"/>
      <c r="I121" s="207"/>
    </row>
    <row r="122" spans="3:9" ht="15" x14ac:dyDescent="0.25">
      <c r="C122" s="206" t="s">
        <v>74</v>
      </c>
      <c r="D122" s="207">
        <v>0.26159518525607517</v>
      </c>
      <c r="E122" s="207">
        <v>6.840549955799081E-3</v>
      </c>
      <c r="F122" s="207">
        <v>0.26175796198882179</v>
      </c>
      <c r="G122" s="207"/>
      <c r="H122" s="207"/>
      <c r="I122" s="207"/>
    </row>
    <row r="123" spans="3:9" ht="15" x14ac:dyDescent="0.25">
      <c r="C123" s="203" t="s">
        <v>34</v>
      </c>
      <c r="D123" s="207">
        <v>0.1595336252287429</v>
      </c>
      <c r="E123" s="207">
        <v>-0.21499389416815573</v>
      </c>
      <c r="F123" s="207">
        <v>-0.2310524230945078</v>
      </c>
      <c r="G123" s="207"/>
      <c r="H123" s="207"/>
      <c r="I123" s="207"/>
    </row>
    <row r="124" spans="3:9" ht="15" x14ac:dyDescent="0.25">
      <c r="C124" s="205" t="s">
        <v>197</v>
      </c>
      <c r="D124" s="207">
        <v>0.18790632743517427</v>
      </c>
      <c r="E124" s="207">
        <v>-0.18455055517711402</v>
      </c>
      <c r="F124" s="207">
        <v>-0.15418362528670632</v>
      </c>
      <c r="G124" s="207"/>
      <c r="H124" s="207"/>
      <c r="I124" s="207"/>
    </row>
    <row r="125" spans="3:9" ht="15" x14ac:dyDescent="0.25">
      <c r="D125" s="207"/>
      <c r="E125" s="207"/>
      <c r="F125" s="207"/>
      <c r="G125" s="207"/>
      <c r="H125" s="207"/>
      <c r="I125" s="207"/>
    </row>
    <row r="126" spans="3:9" ht="15" x14ac:dyDescent="0.25">
      <c r="D126" s="207"/>
      <c r="E126" s="207"/>
      <c r="F126" s="207"/>
      <c r="G126" s="207"/>
      <c r="H126" s="207"/>
      <c r="I126" s="207"/>
    </row>
    <row r="127" spans="3:9" ht="15" x14ac:dyDescent="0.25">
      <c r="D127" s="207"/>
      <c r="E127" s="207"/>
      <c r="F127" s="207"/>
      <c r="G127" s="207"/>
      <c r="H127" s="207"/>
      <c r="I127" s="207"/>
    </row>
    <row r="128" spans="3:9" ht="15" x14ac:dyDescent="0.25">
      <c r="D128" s="207"/>
      <c r="E128" s="207"/>
      <c r="F128" s="207"/>
      <c r="G128" s="207"/>
      <c r="H128" s="207"/>
      <c r="I128" s="207"/>
    </row>
    <row r="129" spans="4:9" ht="15" x14ac:dyDescent="0.25">
      <c r="D129" s="207"/>
      <c r="E129" s="207"/>
      <c r="F129" s="207"/>
      <c r="G129" s="207"/>
      <c r="H129" s="207"/>
      <c r="I129" s="207"/>
    </row>
    <row r="130" spans="4:9" ht="15" x14ac:dyDescent="0.25">
      <c r="D130" s="207"/>
      <c r="E130" s="207"/>
      <c r="F130" s="207"/>
      <c r="G130" s="207"/>
      <c r="H130" s="207"/>
      <c r="I130" s="207"/>
    </row>
    <row r="131" spans="4:9" ht="15" x14ac:dyDescent="0.25">
      <c r="D131" s="207"/>
      <c r="E131" s="207"/>
      <c r="F131" s="207"/>
      <c r="G131" s="207"/>
      <c r="H131" s="207"/>
      <c r="I131" s="207"/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topLeftCell="A5" workbookViewId="0">
      <selection activeCell="E51" sqref="E51"/>
    </sheetView>
  </sheetViews>
  <sheetFormatPr defaultColWidth="9.140625" defaultRowHeight="15" x14ac:dyDescent="0.25"/>
  <cols>
    <col min="1" max="1" width="2.7109375" style="87" customWidth="1"/>
    <col min="2" max="2" width="7.7109375" style="87" customWidth="1"/>
    <col min="3" max="3" width="18.7109375" style="87" customWidth="1"/>
    <col min="4" max="8" width="12" style="87" customWidth="1"/>
    <col min="9" max="9" width="10.85546875" style="87" customWidth="1"/>
    <col min="10" max="256" width="9.140625" style="87"/>
    <col min="257" max="257" width="2.7109375" style="87" customWidth="1"/>
    <col min="258" max="258" width="7.7109375" style="87" customWidth="1"/>
    <col min="259" max="259" width="18.7109375" style="87" customWidth="1"/>
    <col min="260" max="264" width="12" style="87" customWidth="1"/>
    <col min="265" max="265" width="10.85546875" style="87" customWidth="1"/>
    <col min="266" max="512" width="9.140625" style="87"/>
    <col min="513" max="513" width="2.7109375" style="87" customWidth="1"/>
    <col min="514" max="514" width="7.7109375" style="87" customWidth="1"/>
    <col min="515" max="515" width="18.7109375" style="87" customWidth="1"/>
    <col min="516" max="520" width="12" style="87" customWidth="1"/>
    <col min="521" max="521" width="10.85546875" style="87" customWidth="1"/>
    <col min="522" max="768" width="9.140625" style="87"/>
    <col min="769" max="769" width="2.7109375" style="87" customWidth="1"/>
    <col min="770" max="770" width="7.7109375" style="87" customWidth="1"/>
    <col min="771" max="771" width="18.7109375" style="87" customWidth="1"/>
    <col min="772" max="776" width="12" style="87" customWidth="1"/>
    <col min="777" max="777" width="10.85546875" style="87" customWidth="1"/>
    <col min="778" max="1024" width="9.140625" style="87"/>
    <col min="1025" max="1025" width="2.7109375" style="87" customWidth="1"/>
    <col min="1026" max="1026" width="7.7109375" style="87" customWidth="1"/>
    <col min="1027" max="1027" width="18.7109375" style="87" customWidth="1"/>
    <col min="1028" max="1032" width="12" style="87" customWidth="1"/>
    <col min="1033" max="1033" width="10.85546875" style="87" customWidth="1"/>
    <col min="1034" max="1280" width="9.140625" style="87"/>
    <col min="1281" max="1281" width="2.7109375" style="87" customWidth="1"/>
    <col min="1282" max="1282" width="7.7109375" style="87" customWidth="1"/>
    <col min="1283" max="1283" width="18.7109375" style="87" customWidth="1"/>
    <col min="1284" max="1288" width="12" style="87" customWidth="1"/>
    <col min="1289" max="1289" width="10.85546875" style="87" customWidth="1"/>
    <col min="1290" max="1536" width="9.140625" style="87"/>
    <col min="1537" max="1537" width="2.7109375" style="87" customWidth="1"/>
    <col min="1538" max="1538" width="7.7109375" style="87" customWidth="1"/>
    <col min="1539" max="1539" width="18.7109375" style="87" customWidth="1"/>
    <col min="1540" max="1544" width="12" style="87" customWidth="1"/>
    <col min="1545" max="1545" width="10.85546875" style="87" customWidth="1"/>
    <col min="1546" max="1792" width="9.140625" style="87"/>
    <col min="1793" max="1793" width="2.7109375" style="87" customWidth="1"/>
    <col min="1794" max="1794" width="7.7109375" style="87" customWidth="1"/>
    <col min="1795" max="1795" width="18.7109375" style="87" customWidth="1"/>
    <col min="1796" max="1800" width="12" style="87" customWidth="1"/>
    <col min="1801" max="1801" width="10.85546875" style="87" customWidth="1"/>
    <col min="1802" max="2048" width="9.140625" style="87"/>
    <col min="2049" max="2049" width="2.7109375" style="87" customWidth="1"/>
    <col min="2050" max="2050" width="7.7109375" style="87" customWidth="1"/>
    <col min="2051" max="2051" width="18.7109375" style="87" customWidth="1"/>
    <col min="2052" max="2056" width="12" style="87" customWidth="1"/>
    <col min="2057" max="2057" width="10.85546875" style="87" customWidth="1"/>
    <col min="2058" max="2304" width="9.140625" style="87"/>
    <col min="2305" max="2305" width="2.7109375" style="87" customWidth="1"/>
    <col min="2306" max="2306" width="7.7109375" style="87" customWidth="1"/>
    <col min="2307" max="2307" width="18.7109375" style="87" customWidth="1"/>
    <col min="2308" max="2312" width="12" style="87" customWidth="1"/>
    <col min="2313" max="2313" width="10.85546875" style="87" customWidth="1"/>
    <col min="2314" max="2560" width="9.140625" style="87"/>
    <col min="2561" max="2561" width="2.7109375" style="87" customWidth="1"/>
    <col min="2562" max="2562" width="7.7109375" style="87" customWidth="1"/>
    <col min="2563" max="2563" width="18.7109375" style="87" customWidth="1"/>
    <col min="2564" max="2568" width="12" style="87" customWidth="1"/>
    <col min="2569" max="2569" width="10.85546875" style="87" customWidth="1"/>
    <col min="2570" max="2816" width="9.140625" style="87"/>
    <col min="2817" max="2817" width="2.7109375" style="87" customWidth="1"/>
    <col min="2818" max="2818" width="7.7109375" style="87" customWidth="1"/>
    <col min="2819" max="2819" width="18.7109375" style="87" customWidth="1"/>
    <col min="2820" max="2824" width="12" style="87" customWidth="1"/>
    <col min="2825" max="2825" width="10.85546875" style="87" customWidth="1"/>
    <col min="2826" max="3072" width="9.140625" style="87"/>
    <col min="3073" max="3073" width="2.7109375" style="87" customWidth="1"/>
    <col min="3074" max="3074" width="7.7109375" style="87" customWidth="1"/>
    <col min="3075" max="3075" width="18.7109375" style="87" customWidth="1"/>
    <col min="3076" max="3080" width="12" style="87" customWidth="1"/>
    <col min="3081" max="3081" width="10.85546875" style="87" customWidth="1"/>
    <col min="3082" max="3328" width="9.140625" style="87"/>
    <col min="3329" max="3329" width="2.7109375" style="87" customWidth="1"/>
    <col min="3330" max="3330" width="7.7109375" style="87" customWidth="1"/>
    <col min="3331" max="3331" width="18.7109375" style="87" customWidth="1"/>
    <col min="3332" max="3336" width="12" style="87" customWidth="1"/>
    <col min="3337" max="3337" width="10.85546875" style="87" customWidth="1"/>
    <col min="3338" max="3584" width="9.140625" style="87"/>
    <col min="3585" max="3585" width="2.7109375" style="87" customWidth="1"/>
    <col min="3586" max="3586" width="7.7109375" style="87" customWidth="1"/>
    <col min="3587" max="3587" width="18.7109375" style="87" customWidth="1"/>
    <col min="3588" max="3592" width="12" style="87" customWidth="1"/>
    <col min="3593" max="3593" width="10.85546875" style="87" customWidth="1"/>
    <col min="3594" max="3840" width="9.140625" style="87"/>
    <col min="3841" max="3841" width="2.7109375" style="87" customWidth="1"/>
    <col min="3842" max="3842" width="7.7109375" style="87" customWidth="1"/>
    <col min="3843" max="3843" width="18.7109375" style="87" customWidth="1"/>
    <col min="3844" max="3848" width="12" style="87" customWidth="1"/>
    <col min="3849" max="3849" width="10.85546875" style="87" customWidth="1"/>
    <col min="3850" max="4096" width="9.140625" style="87"/>
    <col min="4097" max="4097" width="2.7109375" style="87" customWidth="1"/>
    <col min="4098" max="4098" width="7.7109375" style="87" customWidth="1"/>
    <col min="4099" max="4099" width="18.7109375" style="87" customWidth="1"/>
    <col min="4100" max="4104" width="12" style="87" customWidth="1"/>
    <col min="4105" max="4105" width="10.85546875" style="87" customWidth="1"/>
    <col min="4106" max="4352" width="9.140625" style="87"/>
    <col min="4353" max="4353" width="2.7109375" style="87" customWidth="1"/>
    <col min="4354" max="4354" width="7.7109375" style="87" customWidth="1"/>
    <col min="4355" max="4355" width="18.7109375" style="87" customWidth="1"/>
    <col min="4356" max="4360" width="12" style="87" customWidth="1"/>
    <col min="4361" max="4361" width="10.85546875" style="87" customWidth="1"/>
    <col min="4362" max="4608" width="9.140625" style="87"/>
    <col min="4609" max="4609" width="2.7109375" style="87" customWidth="1"/>
    <col min="4610" max="4610" width="7.7109375" style="87" customWidth="1"/>
    <col min="4611" max="4611" width="18.7109375" style="87" customWidth="1"/>
    <col min="4612" max="4616" width="12" style="87" customWidth="1"/>
    <col min="4617" max="4617" width="10.85546875" style="87" customWidth="1"/>
    <col min="4618" max="4864" width="9.140625" style="87"/>
    <col min="4865" max="4865" width="2.7109375" style="87" customWidth="1"/>
    <col min="4866" max="4866" width="7.7109375" style="87" customWidth="1"/>
    <col min="4867" max="4867" width="18.7109375" style="87" customWidth="1"/>
    <col min="4868" max="4872" width="12" style="87" customWidth="1"/>
    <col min="4873" max="4873" width="10.85546875" style="87" customWidth="1"/>
    <col min="4874" max="5120" width="9.140625" style="87"/>
    <col min="5121" max="5121" width="2.7109375" style="87" customWidth="1"/>
    <col min="5122" max="5122" width="7.7109375" style="87" customWidth="1"/>
    <col min="5123" max="5123" width="18.7109375" style="87" customWidth="1"/>
    <col min="5124" max="5128" width="12" style="87" customWidth="1"/>
    <col min="5129" max="5129" width="10.85546875" style="87" customWidth="1"/>
    <col min="5130" max="5376" width="9.140625" style="87"/>
    <col min="5377" max="5377" width="2.7109375" style="87" customWidth="1"/>
    <col min="5378" max="5378" width="7.7109375" style="87" customWidth="1"/>
    <col min="5379" max="5379" width="18.7109375" style="87" customWidth="1"/>
    <col min="5380" max="5384" width="12" style="87" customWidth="1"/>
    <col min="5385" max="5385" width="10.85546875" style="87" customWidth="1"/>
    <col min="5386" max="5632" width="9.140625" style="87"/>
    <col min="5633" max="5633" width="2.7109375" style="87" customWidth="1"/>
    <col min="5634" max="5634" width="7.7109375" style="87" customWidth="1"/>
    <col min="5635" max="5635" width="18.7109375" style="87" customWidth="1"/>
    <col min="5636" max="5640" width="12" style="87" customWidth="1"/>
    <col min="5641" max="5641" width="10.85546875" style="87" customWidth="1"/>
    <col min="5642" max="5888" width="9.140625" style="87"/>
    <col min="5889" max="5889" width="2.7109375" style="87" customWidth="1"/>
    <col min="5890" max="5890" width="7.7109375" style="87" customWidth="1"/>
    <col min="5891" max="5891" width="18.7109375" style="87" customWidth="1"/>
    <col min="5892" max="5896" width="12" style="87" customWidth="1"/>
    <col min="5897" max="5897" width="10.85546875" style="87" customWidth="1"/>
    <col min="5898" max="6144" width="9.140625" style="87"/>
    <col min="6145" max="6145" width="2.7109375" style="87" customWidth="1"/>
    <col min="6146" max="6146" width="7.7109375" style="87" customWidth="1"/>
    <col min="6147" max="6147" width="18.7109375" style="87" customWidth="1"/>
    <col min="6148" max="6152" width="12" style="87" customWidth="1"/>
    <col min="6153" max="6153" width="10.85546875" style="87" customWidth="1"/>
    <col min="6154" max="6400" width="9.140625" style="87"/>
    <col min="6401" max="6401" width="2.7109375" style="87" customWidth="1"/>
    <col min="6402" max="6402" width="7.7109375" style="87" customWidth="1"/>
    <col min="6403" max="6403" width="18.7109375" style="87" customWidth="1"/>
    <col min="6404" max="6408" width="12" style="87" customWidth="1"/>
    <col min="6409" max="6409" width="10.85546875" style="87" customWidth="1"/>
    <col min="6410" max="6656" width="9.140625" style="87"/>
    <col min="6657" max="6657" width="2.7109375" style="87" customWidth="1"/>
    <col min="6658" max="6658" width="7.7109375" style="87" customWidth="1"/>
    <col min="6659" max="6659" width="18.7109375" style="87" customWidth="1"/>
    <col min="6660" max="6664" width="12" style="87" customWidth="1"/>
    <col min="6665" max="6665" width="10.85546875" style="87" customWidth="1"/>
    <col min="6666" max="6912" width="9.140625" style="87"/>
    <col min="6913" max="6913" width="2.7109375" style="87" customWidth="1"/>
    <col min="6914" max="6914" width="7.7109375" style="87" customWidth="1"/>
    <col min="6915" max="6915" width="18.7109375" style="87" customWidth="1"/>
    <col min="6916" max="6920" width="12" style="87" customWidth="1"/>
    <col min="6921" max="6921" width="10.85546875" style="87" customWidth="1"/>
    <col min="6922" max="7168" width="9.140625" style="87"/>
    <col min="7169" max="7169" width="2.7109375" style="87" customWidth="1"/>
    <col min="7170" max="7170" width="7.7109375" style="87" customWidth="1"/>
    <col min="7171" max="7171" width="18.7109375" style="87" customWidth="1"/>
    <col min="7172" max="7176" width="12" style="87" customWidth="1"/>
    <col min="7177" max="7177" width="10.85546875" style="87" customWidth="1"/>
    <col min="7178" max="7424" width="9.140625" style="87"/>
    <col min="7425" max="7425" width="2.7109375" style="87" customWidth="1"/>
    <col min="7426" max="7426" width="7.7109375" style="87" customWidth="1"/>
    <col min="7427" max="7427" width="18.7109375" style="87" customWidth="1"/>
    <col min="7428" max="7432" width="12" style="87" customWidth="1"/>
    <col min="7433" max="7433" width="10.85546875" style="87" customWidth="1"/>
    <col min="7434" max="7680" width="9.140625" style="87"/>
    <col min="7681" max="7681" width="2.7109375" style="87" customWidth="1"/>
    <col min="7682" max="7682" width="7.7109375" style="87" customWidth="1"/>
    <col min="7683" max="7683" width="18.7109375" style="87" customWidth="1"/>
    <col min="7684" max="7688" width="12" style="87" customWidth="1"/>
    <col min="7689" max="7689" width="10.85546875" style="87" customWidth="1"/>
    <col min="7690" max="7936" width="9.140625" style="87"/>
    <col min="7937" max="7937" width="2.7109375" style="87" customWidth="1"/>
    <col min="7938" max="7938" width="7.7109375" style="87" customWidth="1"/>
    <col min="7939" max="7939" width="18.7109375" style="87" customWidth="1"/>
    <col min="7940" max="7944" width="12" style="87" customWidth="1"/>
    <col min="7945" max="7945" width="10.85546875" style="87" customWidth="1"/>
    <col min="7946" max="8192" width="9.140625" style="87"/>
    <col min="8193" max="8193" width="2.7109375" style="87" customWidth="1"/>
    <col min="8194" max="8194" width="7.7109375" style="87" customWidth="1"/>
    <col min="8195" max="8195" width="18.7109375" style="87" customWidth="1"/>
    <col min="8196" max="8200" width="12" style="87" customWidth="1"/>
    <col min="8201" max="8201" width="10.85546875" style="87" customWidth="1"/>
    <col min="8202" max="8448" width="9.140625" style="87"/>
    <col min="8449" max="8449" width="2.7109375" style="87" customWidth="1"/>
    <col min="8450" max="8450" width="7.7109375" style="87" customWidth="1"/>
    <col min="8451" max="8451" width="18.7109375" style="87" customWidth="1"/>
    <col min="8452" max="8456" width="12" style="87" customWidth="1"/>
    <col min="8457" max="8457" width="10.85546875" style="87" customWidth="1"/>
    <col min="8458" max="8704" width="9.140625" style="87"/>
    <col min="8705" max="8705" width="2.7109375" style="87" customWidth="1"/>
    <col min="8706" max="8706" width="7.7109375" style="87" customWidth="1"/>
    <col min="8707" max="8707" width="18.7109375" style="87" customWidth="1"/>
    <col min="8708" max="8712" width="12" style="87" customWidth="1"/>
    <col min="8713" max="8713" width="10.85546875" style="87" customWidth="1"/>
    <col min="8714" max="8960" width="9.140625" style="87"/>
    <col min="8961" max="8961" width="2.7109375" style="87" customWidth="1"/>
    <col min="8962" max="8962" width="7.7109375" style="87" customWidth="1"/>
    <col min="8963" max="8963" width="18.7109375" style="87" customWidth="1"/>
    <col min="8964" max="8968" width="12" style="87" customWidth="1"/>
    <col min="8969" max="8969" width="10.85546875" style="87" customWidth="1"/>
    <col min="8970" max="9216" width="9.140625" style="87"/>
    <col min="9217" max="9217" width="2.7109375" style="87" customWidth="1"/>
    <col min="9218" max="9218" width="7.7109375" style="87" customWidth="1"/>
    <col min="9219" max="9219" width="18.7109375" style="87" customWidth="1"/>
    <col min="9220" max="9224" width="12" style="87" customWidth="1"/>
    <col min="9225" max="9225" width="10.85546875" style="87" customWidth="1"/>
    <col min="9226" max="9472" width="9.140625" style="87"/>
    <col min="9473" max="9473" width="2.7109375" style="87" customWidth="1"/>
    <col min="9474" max="9474" width="7.7109375" style="87" customWidth="1"/>
    <col min="9475" max="9475" width="18.7109375" style="87" customWidth="1"/>
    <col min="9476" max="9480" width="12" style="87" customWidth="1"/>
    <col min="9481" max="9481" width="10.85546875" style="87" customWidth="1"/>
    <col min="9482" max="9728" width="9.140625" style="87"/>
    <col min="9729" max="9729" width="2.7109375" style="87" customWidth="1"/>
    <col min="9730" max="9730" width="7.7109375" style="87" customWidth="1"/>
    <col min="9731" max="9731" width="18.7109375" style="87" customWidth="1"/>
    <col min="9732" max="9736" width="12" style="87" customWidth="1"/>
    <col min="9737" max="9737" width="10.85546875" style="87" customWidth="1"/>
    <col min="9738" max="9984" width="9.140625" style="87"/>
    <col min="9985" max="9985" width="2.7109375" style="87" customWidth="1"/>
    <col min="9986" max="9986" width="7.7109375" style="87" customWidth="1"/>
    <col min="9987" max="9987" width="18.7109375" style="87" customWidth="1"/>
    <col min="9988" max="9992" width="12" style="87" customWidth="1"/>
    <col min="9993" max="9993" width="10.85546875" style="87" customWidth="1"/>
    <col min="9994" max="10240" width="9.140625" style="87"/>
    <col min="10241" max="10241" width="2.7109375" style="87" customWidth="1"/>
    <col min="10242" max="10242" width="7.7109375" style="87" customWidth="1"/>
    <col min="10243" max="10243" width="18.7109375" style="87" customWidth="1"/>
    <col min="10244" max="10248" width="12" style="87" customWidth="1"/>
    <col min="10249" max="10249" width="10.85546875" style="87" customWidth="1"/>
    <col min="10250" max="10496" width="9.140625" style="87"/>
    <col min="10497" max="10497" width="2.7109375" style="87" customWidth="1"/>
    <col min="10498" max="10498" width="7.7109375" style="87" customWidth="1"/>
    <col min="10499" max="10499" width="18.7109375" style="87" customWidth="1"/>
    <col min="10500" max="10504" width="12" style="87" customWidth="1"/>
    <col min="10505" max="10505" width="10.85546875" style="87" customWidth="1"/>
    <col min="10506" max="10752" width="9.140625" style="87"/>
    <col min="10753" max="10753" width="2.7109375" style="87" customWidth="1"/>
    <col min="10754" max="10754" width="7.7109375" style="87" customWidth="1"/>
    <col min="10755" max="10755" width="18.7109375" style="87" customWidth="1"/>
    <col min="10756" max="10760" width="12" style="87" customWidth="1"/>
    <col min="10761" max="10761" width="10.85546875" style="87" customWidth="1"/>
    <col min="10762" max="11008" width="9.140625" style="87"/>
    <col min="11009" max="11009" width="2.7109375" style="87" customWidth="1"/>
    <col min="11010" max="11010" width="7.7109375" style="87" customWidth="1"/>
    <col min="11011" max="11011" width="18.7109375" style="87" customWidth="1"/>
    <col min="11012" max="11016" width="12" style="87" customWidth="1"/>
    <col min="11017" max="11017" width="10.85546875" style="87" customWidth="1"/>
    <col min="11018" max="11264" width="9.140625" style="87"/>
    <col min="11265" max="11265" width="2.7109375" style="87" customWidth="1"/>
    <col min="11266" max="11266" width="7.7109375" style="87" customWidth="1"/>
    <col min="11267" max="11267" width="18.7109375" style="87" customWidth="1"/>
    <col min="11268" max="11272" width="12" style="87" customWidth="1"/>
    <col min="11273" max="11273" width="10.85546875" style="87" customWidth="1"/>
    <col min="11274" max="11520" width="9.140625" style="87"/>
    <col min="11521" max="11521" width="2.7109375" style="87" customWidth="1"/>
    <col min="11522" max="11522" width="7.7109375" style="87" customWidth="1"/>
    <col min="11523" max="11523" width="18.7109375" style="87" customWidth="1"/>
    <col min="11524" max="11528" width="12" style="87" customWidth="1"/>
    <col min="11529" max="11529" width="10.85546875" style="87" customWidth="1"/>
    <col min="11530" max="11776" width="9.140625" style="87"/>
    <col min="11777" max="11777" width="2.7109375" style="87" customWidth="1"/>
    <col min="11778" max="11778" width="7.7109375" style="87" customWidth="1"/>
    <col min="11779" max="11779" width="18.7109375" style="87" customWidth="1"/>
    <col min="11780" max="11784" width="12" style="87" customWidth="1"/>
    <col min="11785" max="11785" width="10.85546875" style="87" customWidth="1"/>
    <col min="11786" max="12032" width="9.140625" style="87"/>
    <col min="12033" max="12033" width="2.7109375" style="87" customWidth="1"/>
    <col min="12034" max="12034" width="7.7109375" style="87" customWidth="1"/>
    <col min="12035" max="12035" width="18.7109375" style="87" customWidth="1"/>
    <col min="12036" max="12040" width="12" style="87" customWidth="1"/>
    <col min="12041" max="12041" width="10.85546875" style="87" customWidth="1"/>
    <col min="12042" max="12288" width="9.140625" style="87"/>
    <col min="12289" max="12289" width="2.7109375" style="87" customWidth="1"/>
    <col min="12290" max="12290" width="7.7109375" style="87" customWidth="1"/>
    <col min="12291" max="12291" width="18.7109375" style="87" customWidth="1"/>
    <col min="12292" max="12296" width="12" style="87" customWidth="1"/>
    <col min="12297" max="12297" width="10.85546875" style="87" customWidth="1"/>
    <col min="12298" max="12544" width="9.140625" style="87"/>
    <col min="12545" max="12545" width="2.7109375" style="87" customWidth="1"/>
    <col min="12546" max="12546" width="7.7109375" style="87" customWidth="1"/>
    <col min="12547" max="12547" width="18.7109375" style="87" customWidth="1"/>
    <col min="12548" max="12552" width="12" style="87" customWidth="1"/>
    <col min="12553" max="12553" width="10.85546875" style="87" customWidth="1"/>
    <col min="12554" max="12800" width="9.140625" style="87"/>
    <col min="12801" max="12801" width="2.7109375" style="87" customWidth="1"/>
    <col min="12802" max="12802" width="7.7109375" style="87" customWidth="1"/>
    <col min="12803" max="12803" width="18.7109375" style="87" customWidth="1"/>
    <col min="12804" max="12808" width="12" style="87" customWidth="1"/>
    <col min="12809" max="12809" width="10.85546875" style="87" customWidth="1"/>
    <col min="12810" max="13056" width="9.140625" style="87"/>
    <col min="13057" max="13057" width="2.7109375" style="87" customWidth="1"/>
    <col min="13058" max="13058" width="7.7109375" style="87" customWidth="1"/>
    <col min="13059" max="13059" width="18.7109375" style="87" customWidth="1"/>
    <col min="13060" max="13064" width="12" style="87" customWidth="1"/>
    <col min="13065" max="13065" width="10.85546875" style="87" customWidth="1"/>
    <col min="13066" max="13312" width="9.140625" style="87"/>
    <col min="13313" max="13313" width="2.7109375" style="87" customWidth="1"/>
    <col min="13314" max="13314" width="7.7109375" style="87" customWidth="1"/>
    <col min="13315" max="13315" width="18.7109375" style="87" customWidth="1"/>
    <col min="13316" max="13320" width="12" style="87" customWidth="1"/>
    <col min="13321" max="13321" width="10.85546875" style="87" customWidth="1"/>
    <col min="13322" max="13568" width="9.140625" style="87"/>
    <col min="13569" max="13569" width="2.7109375" style="87" customWidth="1"/>
    <col min="13570" max="13570" width="7.7109375" style="87" customWidth="1"/>
    <col min="13571" max="13571" width="18.7109375" style="87" customWidth="1"/>
    <col min="13572" max="13576" width="12" style="87" customWidth="1"/>
    <col min="13577" max="13577" width="10.85546875" style="87" customWidth="1"/>
    <col min="13578" max="13824" width="9.140625" style="87"/>
    <col min="13825" max="13825" width="2.7109375" style="87" customWidth="1"/>
    <col min="13826" max="13826" width="7.7109375" style="87" customWidth="1"/>
    <col min="13827" max="13827" width="18.7109375" style="87" customWidth="1"/>
    <col min="13828" max="13832" width="12" style="87" customWidth="1"/>
    <col min="13833" max="13833" width="10.85546875" style="87" customWidth="1"/>
    <col min="13834" max="14080" width="9.140625" style="87"/>
    <col min="14081" max="14081" width="2.7109375" style="87" customWidth="1"/>
    <col min="14082" max="14082" width="7.7109375" style="87" customWidth="1"/>
    <col min="14083" max="14083" width="18.7109375" style="87" customWidth="1"/>
    <col min="14084" max="14088" width="12" style="87" customWidth="1"/>
    <col min="14089" max="14089" width="10.85546875" style="87" customWidth="1"/>
    <col min="14090" max="14336" width="9.140625" style="87"/>
    <col min="14337" max="14337" width="2.7109375" style="87" customWidth="1"/>
    <col min="14338" max="14338" width="7.7109375" style="87" customWidth="1"/>
    <col min="14339" max="14339" width="18.7109375" style="87" customWidth="1"/>
    <col min="14340" max="14344" width="12" style="87" customWidth="1"/>
    <col min="14345" max="14345" width="10.85546875" style="87" customWidth="1"/>
    <col min="14346" max="14592" width="9.140625" style="87"/>
    <col min="14593" max="14593" width="2.7109375" style="87" customWidth="1"/>
    <col min="14594" max="14594" width="7.7109375" style="87" customWidth="1"/>
    <col min="14595" max="14595" width="18.7109375" style="87" customWidth="1"/>
    <col min="14596" max="14600" width="12" style="87" customWidth="1"/>
    <col min="14601" max="14601" width="10.85546875" style="87" customWidth="1"/>
    <col min="14602" max="14848" width="9.140625" style="87"/>
    <col min="14849" max="14849" width="2.7109375" style="87" customWidth="1"/>
    <col min="14850" max="14850" width="7.7109375" style="87" customWidth="1"/>
    <col min="14851" max="14851" width="18.7109375" style="87" customWidth="1"/>
    <col min="14852" max="14856" width="12" style="87" customWidth="1"/>
    <col min="14857" max="14857" width="10.85546875" style="87" customWidth="1"/>
    <col min="14858" max="15104" width="9.140625" style="87"/>
    <col min="15105" max="15105" width="2.7109375" style="87" customWidth="1"/>
    <col min="15106" max="15106" width="7.7109375" style="87" customWidth="1"/>
    <col min="15107" max="15107" width="18.7109375" style="87" customWidth="1"/>
    <col min="15108" max="15112" width="12" style="87" customWidth="1"/>
    <col min="15113" max="15113" width="10.85546875" style="87" customWidth="1"/>
    <col min="15114" max="15360" width="9.140625" style="87"/>
    <col min="15361" max="15361" width="2.7109375" style="87" customWidth="1"/>
    <col min="15362" max="15362" width="7.7109375" style="87" customWidth="1"/>
    <col min="15363" max="15363" width="18.7109375" style="87" customWidth="1"/>
    <col min="15364" max="15368" width="12" style="87" customWidth="1"/>
    <col min="15369" max="15369" width="10.85546875" style="87" customWidth="1"/>
    <col min="15370" max="15616" width="9.140625" style="87"/>
    <col min="15617" max="15617" width="2.7109375" style="87" customWidth="1"/>
    <col min="15618" max="15618" width="7.7109375" style="87" customWidth="1"/>
    <col min="15619" max="15619" width="18.7109375" style="87" customWidth="1"/>
    <col min="15620" max="15624" width="12" style="87" customWidth="1"/>
    <col min="15625" max="15625" width="10.85546875" style="87" customWidth="1"/>
    <col min="15626" max="15872" width="9.140625" style="87"/>
    <col min="15873" max="15873" width="2.7109375" style="87" customWidth="1"/>
    <col min="15874" max="15874" width="7.7109375" style="87" customWidth="1"/>
    <col min="15875" max="15875" width="18.7109375" style="87" customWidth="1"/>
    <col min="15876" max="15880" width="12" style="87" customWidth="1"/>
    <col min="15881" max="15881" width="10.85546875" style="87" customWidth="1"/>
    <col min="15882" max="16128" width="9.140625" style="87"/>
    <col min="16129" max="16129" width="2.7109375" style="87" customWidth="1"/>
    <col min="16130" max="16130" width="7.7109375" style="87" customWidth="1"/>
    <col min="16131" max="16131" width="18.7109375" style="87" customWidth="1"/>
    <col min="16132" max="16136" width="12" style="87" customWidth="1"/>
    <col min="16137" max="16137" width="10.85546875" style="87" customWidth="1"/>
    <col min="16138" max="16384" width="9.140625" style="87"/>
  </cols>
  <sheetData>
    <row r="1" spans="2:9" ht="15.75" x14ac:dyDescent="0.25">
      <c r="D1" s="93"/>
    </row>
    <row r="3" spans="2:9" x14ac:dyDescent="0.25">
      <c r="B3" s="94"/>
      <c r="C3" s="94"/>
      <c r="D3" s="94"/>
      <c r="E3" s="94"/>
      <c r="F3" s="94"/>
    </row>
    <row r="4" spans="2:9" ht="18" x14ac:dyDescent="0.25">
      <c r="B4" s="95" t="s">
        <v>141</v>
      </c>
      <c r="C4" s="96"/>
      <c r="D4" s="97" t="s">
        <v>198</v>
      </c>
      <c r="E4" s="98"/>
      <c r="F4" s="98"/>
      <c r="G4" s="99"/>
    </row>
    <row r="5" spans="2:9" ht="18" x14ac:dyDescent="0.25">
      <c r="B5" s="100" t="s">
        <v>142</v>
      </c>
      <c r="C5" s="101"/>
      <c r="D5" s="102" t="s">
        <v>199</v>
      </c>
      <c r="E5" s="103"/>
      <c r="F5" s="103"/>
      <c r="G5" s="104"/>
    </row>
    <row r="6" spans="2:9" ht="18" x14ac:dyDescent="0.25">
      <c r="B6" s="100" t="s">
        <v>143</v>
      </c>
      <c r="C6" s="101"/>
      <c r="D6" s="102" t="s">
        <v>144</v>
      </c>
      <c r="E6" s="103"/>
      <c r="F6" s="103"/>
      <c r="G6" s="104"/>
    </row>
    <row r="7" spans="2:9" ht="18" x14ac:dyDescent="0.25">
      <c r="B7" s="100" t="s">
        <v>145</v>
      </c>
      <c r="C7" s="101"/>
      <c r="D7" s="105">
        <v>41568.638657407406</v>
      </c>
      <c r="E7" s="103"/>
      <c r="F7" s="103"/>
      <c r="G7" s="104"/>
    </row>
    <row r="8" spans="2:9" ht="18" x14ac:dyDescent="0.25">
      <c r="B8" s="106" t="s">
        <v>146</v>
      </c>
      <c r="C8" s="107"/>
      <c r="D8" s="108" t="s">
        <v>147</v>
      </c>
      <c r="E8" s="109"/>
      <c r="F8" s="109"/>
      <c r="G8" s="110"/>
    </row>
    <row r="9" spans="2:9" x14ac:dyDescent="0.25">
      <c r="B9" s="94"/>
      <c r="C9" s="94"/>
      <c r="D9" s="94"/>
      <c r="E9" s="94"/>
      <c r="F9" s="94"/>
    </row>
    <row r="10" spans="2:9" ht="18" x14ac:dyDescent="0.25">
      <c r="B10" s="111" t="s">
        <v>148</v>
      </c>
      <c r="C10" s="95" t="s">
        <v>149</v>
      </c>
      <c r="D10" s="95" t="s">
        <v>150</v>
      </c>
      <c r="E10" s="95" t="s">
        <v>150</v>
      </c>
      <c r="F10" s="95" t="s">
        <v>150</v>
      </c>
      <c r="G10" s="95" t="s">
        <v>150</v>
      </c>
      <c r="H10" s="95" t="s">
        <v>150</v>
      </c>
      <c r="I10" s="111" t="s">
        <v>150</v>
      </c>
    </row>
    <row r="11" spans="2:9" ht="18" x14ac:dyDescent="0.25">
      <c r="B11" s="112" t="s">
        <v>151</v>
      </c>
      <c r="C11" s="113" t="s">
        <v>151</v>
      </c>
      <c r="D11" s="113" t="s">
        <v>152</v>
      </c>
      <c r="E11" s="113" t="s">
        <v>152</v>
      </c>
      <c r="F11" s="113" t="s">
        <v>152</v>
      </c>
      <c r="G11" s="113" t="s">
        <v>152</v>
      </c>
      <c r="H11" s="113" t="s">
        <v>152</v>
      </c>
      <c r="I11" s="112" t="s">
        <v>152</v>
      </c>
    </row>
    <row r="12" spans="2:9" ht="18" x14ac:dyDescent="0.25">
      <c r="B12" s="112" t="s">
        <v>151</v>
      </c>
      <c r="C12" s="113" t="s">
        <v>151</v>
      </c>
      <c r="D12" s="113" t="s">
        <v>153</v>
      </c>
      <c r="E12" s="113" t="s">
        <v>154</v>
      </c>
      <c r="F12" s="113" t="s">
        <v>155</v>
      </c>
      <c r="G12" s="113" t="s">
        <v>156</v>
      </c>
      <c r="H12" s="113" t="s">
        <v>157</v>
      </c>
      <c r="I12" s="112" t="s">
        <v>158</v>
      </c>
    </row>
    <row r="13" spans="2:9" ht="15.75" x14ac:dyDescent="0.25">
      <c r="B13" s="114" t="s">
        <v>151</v>
      </c>
      <c r="C13" s="115" t="s">
        <v>151</v>
      </c>
      <c r="D13" s="116" t="s">
        <v>159</v>
      </c>
      <c r="E13" s="117" t="s">
        <v>159</v>
      </c>
      <c r="F13" s="117" t="s">
        <v>159</v>
      </c>
      <c r="G13" s="117" t="s">
        <v>159</v>
      </c>
      <c r="H13" s="117" t="s">
        <v>159</v>
      </c>
      <c r="I13" s="118" t="s">
        <v>159</v>
      </c>
    </row>
    <row r="14" spans="2:9" ht="15.75" x14ac:dyDescent="0.25">
      <c r="B14" s="119">
        <v>1</v>
      </c>
      <c r="C14" s="120" t="s">
        <v>160</v>
      </c>
      <c r="D14" s="121" t="s">
        <v>99</v>
      </c>
      <c r="E14" s="121" t="s">
        <v>99</v>
      </c>
      <c r="F14" s="121" t="s">
        <v>99</v>
      </c>
      <c r="G14" s="121" t="s">
        <v>99</v>
      </c>
      <c r="H14" s="121" t="s">
        <v>99</v>
      </c>
      <c r="I14" s="121" t="s">
        <v>99</v>
      </c>
    </row>
    <row r="15" spans="2:9" ht="15.75" x14ac:dyDescent="0.25">
      <c r="B15" s="122">
        <v>2</v>
      </c>
      <c r="C15" s="123" t="s">
        <v>160</v>
      </c>
      <c r="D15" s="124" t="s">
        <v>99</v>
      </c>
      <c r="E15" s="124" t="s">
        <v>99</v>
      </c>
      <c r="F15" s="124" t="s">
        <v>99</v>
      </c>
      <c r="G15" s="124" t="s">
        <v>99</v>
      </c>
      <c r="H15" s="124" t="s">
        <v>99</v>
      </c>
      <c r="I15" s="124" t="s">
        <v>99</v>
      </c>
    </row>
    <row r="16" spans="2:9" ht="15.75" x14ac:dyDescent="0.25">
      <c r="B16" s="122">
        <v>3</v>
      </c>
      <c r="C16" s="123" t="s">
        <v>160</v>
      </c>
      <c r="D16" s="124" t="s">
        <v>99</v>
      </c>
      <c r="E16" s="124" t="s">
        <v>99</v>
      </c>
      <c r="F16" s="124" t="s">
        <v>99</v>
      </c>
      <c r="G16" s="124" t="s">
        <v>99</v>
      </c>
      <c r="H16" s="124" t="s">
        <v>99</v>
      </c>
      <c r="I16" s="124" t="s">
        <v>99</v>
      </c>
    </row>
    <row r="17" spans="2:9" ht="15.75" x14ac:dyDescent="0.25">
      <c r="B17" s="122">
        <v>4</v>
      </c>
      <c r="C17" s="123" t="s">
        <v>161</v>
      </c>
      <c r="D17" s="124">
        <v>1.2352627783383414</v>
      </c>
      <c r="E17" s="124">
        <v>2.5055202025636367</v>
      </c>
      <c r="F17" s="124">
        <v>2.5276494565282221</v>
      </c>
      <c r="G17" s="124">
        <v>3.7947444245088535</v>
      </c>
      <c r="H17" s="124">
        <v>5.0363032568480222</v>
      </c>
      <c r="I17" s="124">
        <v>10.121242776926035</v>
      </c>
    </row>
    <row r="18" spans="2:9" ht="15.75" x14ac:dyDescent="0.25">
      <c r="B18" s="122">
        <v>5</v>
      </c>
      <c r="C18" s="123" t="s">
        <v>162</v>
      </c>
      <c r="D18" s="124">
        <v>2.5221058324924881</v>
      </c>
      <c r="E18" s="124">
        <v>4.9917196961545454</v>
      </c>
      <c r="F18" s="124">
        <v>4.9585258152076621</v>
      </c>
      <c r="G18" s="124">
        <v>7.4328833632367264</v>
      </c>
      <c r="H18" s="124">
        <v>9.9455451147279685</v>
      </c>
      <c r="I18" s="124">
        <v>19.81813583461097</v>
      </c>
    </row>
    <row r="19" spans="2:9" ht="15.75" x14ac:dyDescent="0.25">
      <c r="B19" s="122">
        <v>6</v>
      </c>
      <c r="C19" s="123" t="s">
        <v>163</v>
      </c>
      <c r="D19" s="124">
        <v>4.9926313891691683</v>
      </c>
      <c r="E19" s="124">
        <v>10.002760101281819</v>
      </c>
      <c r="F19" s="124">
        <v>10.013824728264114</v>
      </c>
      <c r="G19" s="124">
        <v>15.022372212254423</v>
      </c>
      <c r="H19" s="124">
        <v>20.018151628424008</v>
      </c>
      <c r="I19" s="124">
        <v>40.060621388462991</v>
      </c>
    </row>
    <row r="20" spans="2:9" ht="15.75" x14ac:dyDescent="0.25">
      <c r="B20" s="122">
        <v>7</v>
      </c>
      <c r="C20" s="123" t="s">
        <v>164</v>
      </c>
      <c r="D20" s="124">
        <v>1.2633072243094758</v>
      </c>
      <c r="E20" s="124">
        <v>2.5507869308537265</v>
      </c>
      <c r="F20" s="124">
        <v>2.5565801479265713</v>
      </c>
      <c r="G20" s="124">
        <v>3.8352546809824202</v>
      </c>
      <c r="H20" s="124">
        <v>5.1020128445859676</v>
      </c>
      <c r="I20" s="124">
        <v>10.208430310228254</v>
      </c>
    </row>
    <row r="21" spans="2:9" ht="15.75" x14ac:dyDescent="0.25">
      <c r="B21" s="122">
        <v>8</v>
      </c>
      <c r="C21" s="123" t="s">
        <v>200</v>
      </c>
      <c r="D21" s="124">
        <v>2.5639396921260311</v>
      </c>
      <c r="E21" s="124">
        <v>6.419665941150634</v>
      </c>
      <c r="F21" s="124">
        <v>12.832870697745383</v>
      </c>
      <c r="G21" s="124" t="s">
        <v>99</v>
      </c>
      <c r="H21" s="124">
        <v>9.9971887063893003</v>
      </c>
      <c r="I21" s="124">
        <v>25.196771077832761</v>
      </c>
    </row>
    <row r="23" spans="2:9" ht="15.75" x14ac:dyDescent="0.25">
      <c r="B23" s="122">
        <v>9</v>
      </c>
      <c r="C23" s="123" t="s">
        <v>201</v>
      </c>
      <c r="D23" s="124">
        <v>7.8331696803065107E-2</v>
      </c>
      <c r="E23" s="124">
        <v>2.6265348409241498</v>
      </c>
      <c r="F23" s="124">
        <v>2.9803990078934457</v>
      </c>
      <c r="G23" s="124" t="s">
        <v>99</v>
      </c>
      <c r="H23" s="124">
        <v>1.3208637758539172</v>
      </c>
      <c r="I23" s="124" t="s">
        <v>99</v>
      </c>
    </row>
    <row r="24" spans="2:9" ht="15.75" x14ac:dyDescent="0.25">
      <c r="B24" s="122">
        <v>10</v>
      </c>
      <c r="C24" s="123" t="s">
        <v>202</v>
      </c>
      <c r="D24" s="124">
        <v>8.3136873949236023E-2</v>
      </c>
      <c r="E24" s="124">
        <v>3.7061480085695822</v>
      </c>
      <c r="F24" s="124">
        <v>4.7470767520003845</v>
      </c>
      <c r="G24" s="124" t="s">
        <v>99</v>
      </c>
      <c r="H24" s="124">
        <v>1.4001543695492296</v>
      </c>
      <c r="I24" s="124" t="s">
        <v>99</v>
      </c>
    </row>
    <row r="25" spans="2:9" ht="15.75" x14ac:dyDescent="0.25">
      <c r="B25" s="122">
        <v>11</v>
      </c>
      <c r="C25" s="123" t="s">
        <v>203</v>
      </c>
      <c r="D25" s="124">
        <v>8.7030625812438964E-2</v>
      </c>
      <c r="E25" s="124">
        <v>16.536657463256624</v>
      </c>
      <c r="F25" s="124">
        <v>6.7702870251819514</v>
      </c>
      <c r="G25" s="124">
        <v>0.69537714966667441</v>
      </c>
      <c r="H25" s="124">
        <v>1.2459988572831171</v>
      </c>
      <c r="I25" s="124">
        <v>1.7035545463332504</v>
      </c>
    </row>
    <row r="26" spans="2:9" ht="15.75" x14ac:dyDescent="0.25">
      <c r="B26" s="122">
        <v>12</v>
      </c>
      <c r="C26" s="123" t="s">
        <v>204</v>
      </c>
      <c r="D26" s="124">
        <v>0.24589216917498447</v>
      </c>
      <c r="E26" s="124">
        <v>34.878012449587345</v>
      </c>
      <c r="F26" s="124">
        <v>13.423475196029724</v>
      </c>
      <c r="G26" s="124" t="s">
        <v>99</v>
      </c>
      <c r="H26" s="124">
        <v>7.0080877433267297</v>
      </c>
      <c r="I26" s="124">
        <v>1.6726201303684001</v>
      </c>
    </row>
    <row r="27" spans="2:9" ht="15.75" x14ac:dyDescent="0.25">
      <c r="B27" s="125">
        <v>13</v>
      </c>
      <c r="C27" s="126" t="s">
        <v>205</v>
      </c>
      <c r="D27" s="121">
        <v>0.15062531946865676</v>
      </c>
      <c r="E27" s="121">
        <v>31.254758924958139</v>
      </c>
      <c r="F27" s="121">
        <v>17.810515953086842</v>
      </c>
      <c r="G27" s="121" t="s">
        <v>99</v>
      </c>
      <c r="H27" s="121">
        <v>4.2459928587512525</v>
      </c>
      <c r="I27" s="121" t="s">
        <v>99</v>
      </c>
    </row>
    <row r="28" spans="2:9" ht="15.75" x14ac:dyDescent="0.25">
      <c r="B28" s="127">
        <v>14</v>
      </c>
      <c r="C28" s="124" t="s">
        <v>206</v>
      </c>
      <c r="D28" s="124">
        <v>0.13893554180136009</v>
      </c>
      <c r="E28" s="124">
        <v>41.935394225127823</v>
      </c>
      <c r="F28" s="124">
        <v>21.297070438287882</v>
      </c>
      <c r="G28" s="124" t="s">
        <v>99</v>
      </c>
      <c r="H28" s="124">
        <v>1.0257998756515128</v>
      </c>
      <c r="I28" s="124">
        <v>1.6773336397022121</v>
      </c>
    </row>
    <row r="29" spans="2:9" ht="15.75" x14ac:dyDescent="0.25">
      <c r="B29" s="127">
        <v>15</v>
      </c>
      <c r="C29" s="124" t="s">
        <v>207</v>
      </c>
      <c r="D29" s="124">
        <v>6.2677259215906833E-2</v>
      </c>
      <c r="E29" s="124">
        <v>10.959552036459437</v>
      </c>
      <c r="F29" s="124">
        <v>2.6692223022218862</v>
      </c>
      <c r="G29" s="124" t="s">
        <v>99</v>
      </c>
      <c r="H29" s="124">
        <v>0.76715560702184615</v>
      </c>
      <c r="I29" s="124" t="s">
        <v>99</v>
      </c>
    </row>
    <row r="30" spans="2:9" ht="15.75" x14ac:dyDescent="0.25">
      <c r="B30" s="127">
        <v>16</v>
      </c>
      <c r="C30" s="124" t="s">
        <v>208</v>
      </c>
      <c r="D30" s="124">
        <v>0.13873447175471793</v>
      </c>
      <c r="E30" s="124">
        <v>25.138833409804722</v>
      </c>
      <c r="F30" s="124">
        <v>18.839155437385831</v>
      </c>
      <c r="G30" s="124" t="s">
        <v>99</v>
      </c>
      <c r="H30" s="124">
        <v>2.3788359720884182</v>
      </c>
      <c r="I30" s="124">
        <v>1.7251277737333739</v>
      </c>
    </row>
    <row r="31" spans="2:9" ht="15.75" x14ac:dyDescent="0.25">
      <c r="B31" s="127">
        <v>17</v>
      </c>
      <c r="C31" s="124" t="s">
        <v>209</v>
      </c>
      <c r="D31" s="124">
        <v>5.9645730383722256E-2</v>
      </c>
      <c r="E31" s="124">
        <v>2.6962483191737561</v>
      </c>
      <c r="F31" s="124">
        <v>8.5118327836603971</v>
      </c>
      <c r="G31" s="124" t="s">
        <v>99</v>
      </c>
      <c r="H31" s="124">
        <v>0.86668992878542694</v>
      </c>
      <c r="I31" s="124" t="s">
        <v>99</v>
      </c>
    </row>
    <row r="32" spans="2:9" ht="15.75" x14ac:dyDescent="0.25">
      <c r="B32" s="119">
        <v>18</v>
      </c>
      <c r="C32" s="121" t="s">
        <v>210</v>
      </c>
      <c r="D32" s="121">
        <v>6.7682960121688604E-2</v>
      </c>
      <c r="E32" s="121">
        <v>1.6190733744024632</v>
      </c>
      <c r="F32" s="121">
        <v>2.0594255209594228</v>
      </c>
      <c r="G32" s="121" t="s">
        <v>99</v>
      </c>
      <c r="H32" s="121">
        <v>1.2088644865528269</v>
      </c>
      <c r="I32" s="121" t="s">
        <v>99</v>
      </c>
    </row>
    <row r="33" spans="2:9" ht="15.75" x14ac:dyDescent="0.25">
      <c r="B33" s="127">
        <v>19</v>
      </c>
      <c r="C33" s="124" t="s">
        <v>211</v>
      </c>
      <c r="D33" s="124">
        <v>6.8291414617115187E-2</v>
      </c>
      <c r="E33" s="124">
        <v>13.277731486364145</v>
      </c>
      <c r="F33" s="124">
        <v>7.1913954320484859</v>
      </c>
      <c r="G33" s="124">
        <v>0.69193539902311207</v>
      </c>
      <c r="H33" s="124">
        <v>0.85435707095312641</v>
      </c>
      <c r="I33" s="124" t="s">
        <v>99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E2" sqref="E2:E12"/>
    </sheetView>
  </sheetViews>
  <sheetFormatPr defaultColWidth="10.85546875" defaultRowHeight="15.75" x14ac:dyDescent="0.25"/>
  <cols>
    <col min="1" max="1" width="16.42578125" style="141" customWidth="1"/>
    <col min="2" max="5" width="12.140625" style="141" customWidth="1"/>
    <col min="6" max="16384" width="10.85546875" style="141"/>
  </cols>
  <sheetData>
    <row r="1" spans="1:5" x14ac:dyDescent="0.25">
      <c r="A1" s="139" t="s">
        <v>265</v>
      </c>
      <c r="B1" s="140" t="s">
        <v>266</v>
      </c>
      <c r="C1" s="140" t="s">
        <v>267</v>
      </c>
      <c r="D1" s="140" t="s">
        <v>268</v>
      </c>
      <c r="E1" s="140" t="s">
        <v>269</v>
      </c>
    </row>
    <row r="2" spans="1:5" x14ac:dyDescent="0.25">
      <c r="A2" s="141" t="s">
        <v>270</v>
      </c>
      <c r="B2" s="142">
        <v>6.0684677144444858</v>
      </c>
      <c r="C2" s="142">
        <v>0.47437609140344811</v>
      </c>
      <c r="D2" s="142">
        <v>0.54896043614077494</v>
      </c>
      <c r="E2" s="142">
        <v>1.6428362443451692</v>
      </c>
    </row>
    <row r="3" spans="1:5" x14ac:dyDescent="0.25">
      <c r="A3" s="141" t="s">
        <v>271</v>
      </c>
      <c r="B3" s="142">
        <v>8.4512658170551767</v>
      </c>
      <c r="C3" s="142">
        <v>0.60769756858625779</v>
      </c>
      <c r="D3" s="142">
        <v>0.89743638548216575</v>
      </c>
      <c r="E3" s="142">
        <v>2.6917224357684515</v>
      </c>
    </row>
    <row r="4" spans="1:5" x14ac:dyDescent="0.25">
      <c r="A4" s="141" t="s">
        <v>272</v>
      </c>
      <c r="B4" s="142">
        <v>9.3007893408476328</v>
      </c>
      <c r="C4" s="142">
        <v>1.2256838518982534</v>
      </c>
      <c r="D4" s="142">
        <v>1.8350339762777772</v>
      </c>
      <c r="E4" s="142">
        <v>12.312395482003362</v>
      </c>
    </row>
    <row r="5" spans="1:5" x14ac:dyDescent="0.25">
      <c r="A5" s="141" t="s">
        <v>273</v>
      </c>
      <c r="B5" s="142">
        <v>25.035275101039684</v>
      </c>
      <c r="C5" s="142">
        <v>4.8838486549843863</v>
      </c>
      <c r="D5" s="142">
        <v>5.512700144520859</v>
      </c>
      <c r="E5" s="142">
        <v>21.030284120974741</v>
      </c>
    </row>
    <row r="6" spans="1:5" x14ac:dyDescent="0.25">
      <c r="A6" s="141" t="s">
        <v>274</v>
      </c>
      <c r="B6" s="142">
        <v>23.281723673743723</v>
      </c>
      <c r="C6" s="142">
        <v>3.0335469301519034</v>
      </c>
      <c r="D6" s="142">
        <v>3.573648037549602</v>
      </c>
      <c r="E6" s="142">
        <v>19.613084174847604</v>
      </c>
    </row>
    <row r="7" spans="1:5" x14ac:dyDescent="0.25">
      <c r="A7" s="141" t="s">
        <v>275</v>
      </c>
      <c r="B7" s="142">
        <v>28.177924713367048</v>
      </c>
      <c r="C7" s="142">
        <v>3.9643325280655914</v>
      </c>
      <c r="D7" s="142">
        <v>3.7610949525191009</v>
      </c>
      <c r="E7" s="142">
        <v>27.074719368361912</v>
      </c>
    </row>
    <row r="8" spans="1:5" x14ac:dyDescent="0.25">
      <c r="A8" s="141" t="s">
        <v>276</v>
      </c>
      <c r="B8" s="142">
        <v>5.448273939247569</v>
      </c>
      <c r="C8" s="142">
        <v>0.79467869249980483</v>
      </c>
      <c r="D8" s="142">
        <v>0.78639222705961187</v>
      </c>
      <c r="E8" s="142">
        <v>7.6582421359832109</v>
      </c>
    </row>
    <row r="9" spans="1:5" x14ac:dyDescent="0.25">
      <c r="A9" s="141" t="s">
        <v>277</v>
      </c>
      <c r="B9" s="142">
        <v>33.155149988124009</v>
      </c>
      <c r="C9" s="142">
        <v>3.6662853145275367</v>
      </c>
      <c r="D9" s="142">
        <v>5.6764929403110793</v>
      </c>
      <c r="E9" s="142">
        <v>19.894904399988331</v>
      </c>
    </row>
    <row r="10" spans="1:5" x14ac:dyDescent="0.25">
      <c r="A10" s="141" t="s">
        <v>278</v>
      </c>
      <c r="B10" s="142">
        <v>7.6698182323586517</v>
      </c>
      <c r="C10" s="142">
        <v>0.55636694586113178</v>
      </c>
      <c r="D10" s="142">
        <v>1.1573751651842334</v>
      </c>
      <c r="E10" s="142">
        <v>1.9272171947874293</v>
      </c>
    </row>
    <row r="11" spans="1:5" x14ac:dyDescent="0.25">
      <c r="A11" s="141" t="s">
        <v>279</v>
      </c>
      <c r="B11" s="142">
        <v>2.5902686975781251</v>
      </c>
      <c r="C11" s="142">
        <v>0.32467631637472705</v>
      </c>
      <c r="D11" s="142">
        <v>0.18869372880455609</v>
      </c>
      <c r="E11" s="142">
        <v>1.0203037935276513</v>
      </c>
    </row>
    <row r="12" spans="1:5" x14ac:dyDescent="0.25">
      <c r="A12" s="141" t="s">
        <v>280</v>
      </c>
      <c r="B12" s="142">
        <v>31.452238707786567</v>
      </c>
      <c r="C12" s="142">
        <v>2.4746781104911828</v>
      </c>
      <c r="D12" s="142">
        <v>4.730521781645578</v>
      </c>
      <c r="E12" s="142">
        <v>15.826347265975727</v>
      </c>
    </row>
    <row r="13" spans="1:5" x14ac:dyDescent="0.25">
      <c r="A13" s="141" t="s">
        <v>281</v>
      </c>
      <c r="B13" s="142">
        <v>-0.53884363484845299</v>
      </c>
      <c r="C13" s="142">
        <v>-3.478486088456835E-2</v>
      </c>
      <c r="D13" s="142">
        <v>-0.31634930488510932</v>
      </c>
      <c r="E13" s="142">
        <v>-0.83480639499565956</v>
      </c>
    </row>
    <row r="14" spans="1:5" x14ac:dyDescent="0.25">
      <c r="A14" s="141" t="s">
        <v>281</v>
      </c>
      <c r="B14" s="142">
        <v>15.713748480588874</v>
      </c>
      <c r="C14" s="142">
        <v>9.3697767027536898</v>
      </c>
      <c r="D14" s="142">
        <v>4.0214499905083425</v>
      </c>
      <c r="E14" s="142">
        <v>3.1620672836108854</v>
      </c>
    </row>
    <row r="15" spans="1:5" x14ac:dyDescent="0.25">
      <c r="A15" s="141" t="s">
        <v>282</v>
      </c>
      <c r="B15" s="142">
        <v>6.3315315917062387</v>
      </c>
      <c r="C15" s="142">
        <v>3.244976747268995</v>
      </c>
      <c r="D15" s="142">
        <v>1.8068106963648702</v>
      </c>
      <c r="E15" s="142">
        <v>8.5155467510998601</v>
      </c>
    </row>
    <row r="16" spans="1:5" x14ac:dyDescent="0.25">
      <c r="A16" s="141" t="s">
        <v>283</v>
      </c>
      <c r="B16" s="142">
        <v>0.47114994478452921</v>
      </c>
      <c r="C16" s="142">
        <v>1.9181383148360731</v>
      </c>
      <c r="D16" s="142">
        <v>0.26794253038473548</v>
      </c>
      <c r="E16" s="142">
        <v>2.4955999023457633</v>
      </c>
    </row>
    <row r="17" spans="1:5" x14ac:dyDescent="0.25">
      <c r="A17" s="141" t="s">
        <v>284</v>
      </c>
      <c r="B17" s="142">
        <v>6.287669433648321</v>
      </c>
      <c r="C17" s="142">
        <v>1.9081581682646818</v>
      </c>
      <c r="D17" s="142">
        <v>1.9281064251622375</v>
      </c>
      <c r="E17" s="142">
        <v>7.7612329159349729</v>
      </c>
    </row>
    <row r="18" spans="1:5" x14ac:dyDescent="0.25">
      <c r="A18" s="141" t="s">
        <v>285</v>
      </c>
      <c r="B18" s="142">
        <v>6.2428100542349112</v>
      </c>
      <c r="C18" s="142">
        <v>1.8722194617306449</v>
      </c>
      <c r="D18" s="142">
        <v>1.9061899423212767</v>
      </c>
      <c r="E18" s="142">
        <v>7.6650769786527366</v>
      </c>
    </row>
    <row r="19" spans="1:5" x14ac:dyDescent="0.25">
      <c r="B19" s="142"/>
      <c r="C19" s="142"/>
      <c r="D19" s="142"/>
      <c r="E19" s="142"/>
    </row>
    <row r="20" spans="1:5" x14ac:dyDescent="0.25">
      <c r="A20" s="141" t="s">
        <v>246</v>
      </c>
      <c r="B20" s="142">
        <v>0.17754787395989799</v>
      </c>
      <c r="C20" s="142">
        <v>5.6550747203727075E-2</v>
      </c>
      <c r="D20" s="142">
        <v>6.1822270173431143E-2</v>
      </c>
      <c r="E20" s="142">
        <v>0.13409519320496927</v>
      </c>
    </row>
    <row r="21" spans="1:5" x14ac:dyDescent="0.25">
      <c r="A21" s="141" t="s">
        <v>247</v>
      </c>
      <c r="B21" s="142">
        <v>0.59182624653299332</v>
      </c>
      <c r="C21" s="142">
        <v>0.18850249067909025</v>
      </c>
      <c r="D21" s="142">
        <v>0.20607423391143714</v>
      </c>
      <c r="E21" s="142">
        <v>0.44698397734989759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6"/>
  <sheetViews>
    <sheetView workbookViewId="0">
      <selection activeCell="S26" sqref="S26"/>
    </sheetView>
  </sheetViews>
  <sheetFormatPr defaultColWidth="8.85546875" defaultRowHeight="15" x14ac:dyDescent="0.25"/>
  <cols>
    <col min="1" max="1" width="8.85546875" style="87"/>
    <col min="2" max="2" width="3.85546875" style="87" bestFit="1" customWidth="1"/>
    <col min="3" max="3" width="4" style="87" bestFit="1" customWidth="1"/>
    <col min="4" max="15" width="8.85546875" style="87"/>
    <col min="16" max="16" width="3.85546875" style="87" bestFit="1" customWidth="1"/>
    <col min="17" max="17" width="4" style="87" bestFit="1" customWidth="1"/>
    <col min="18" max="16384" width="8.85546875" style="87"/>
  </cols>
  <sheetData>
    <row r="3" spans="2:20" x14ac:dyDescent="0.25">
      <c r="P3" s="128"/>
      <c r="Q3" s="129"/>
      <c r="R3" s="130" t="s">
        <v>212</v>
      </c>
      <c r="S3" s="130"/>
      <c r="T3" s="130"/>
    </row>
    <row r="4" spans="2:20" x14ac:dyDescent="0.25">
      <c r="B4" s="131"/>
      <c r="C4" s="132"/>
      <c r="D4" s="133" t="s">
        <v>213</v>
      </c>
      <c r="E4" s="133" t="s">
        <v>214</v>
      </c>
      <c r="F4" s="133" t="s">
        <v>215</v>
      </c>
      <c r="G4" s="133" t="s">
        <v>216</v>
      </c>
      <c r="H4" s="133" t="s">
        <v>217</v>
      </c>
      <c r="I4" s="133" t="s">
        <v>218</v>
      </c>
      <c r="J4" s="133" t="s">
        <v>219</v>
      </c>
      <c r="K4" s="133" t="s">
        <v>220</v>
      </c>
      <c r="L4" s="133" t="s">
        <v>221</v>
      </c>
      <c r="M4" s="133" t="s">
        <v>222</v>
      </c>
      <c r="N4" s="133" t="s">
        <v>223</v>
      </c>
      <c r="P4" s="131"/>
      <c r="Q4" s="132"/>
      <c r="R4" s="133" t="s">
        <v>224</v>
      </c>
      <c r="S4" s="133" t="s">
        <v>225</v>
      </c>
      <c r="T4" s="133" t="s">
        <v>226</v>
      </c>
    </row>
    <row r="5" spans="2:20" x14ac:dyDescent="0.25">
      <c r="B5" s="130" t="s">
        <v>2</v>
      </c>
      <c r="C5" s="134">
        <v>57</v>
      </c>
      <c r="D5" s="128">
        <v>327.56</v>
      </c>
      <c r="E5" s="128">
        <v>294.33</v>
      </c>
      <c r="F5" s="128">
        <v>1018</v>
      </c>
      <c r="G5" s="128">
        <v>230.57</v>
      </c>
      <c r="H5" s="128">
        <v>155.25</v>
      </c>
      <c r="I5" s="128">
        <v>115.64</v>
      </c>
      <c r="J5" s="128">
        <v>486.97</v>
      </c>
      <c r="K5" s="128">
        <v>420.39</v>
      </c>
      <c r="L5" s="128">
        <v>38.99</v>
      </c>
      <c r="M5" s="128">
        <v>70.42</v>
      </c>
      <c r="N5" s="128">
        <v>112.35</v>
      </c>
      <c r="P5" s="130" t="s">
        <v>2</v>
      </c>
      <c r="Q5" s="134">
        <v>57</v>
      </c>
      <c r="R5" s="128">
        <v>366.12</v>
      </c>
      <c r="S5" s="128">
        <v>355.53</v>
      </c>
      <c r="T5" s="128">
        <v>364.81</v>
      </c>
    </row>
    <row r="6" spans="2:20" x14ac:dyDescent="0.25">
      <c r="B6" s="130" t="s">
        <v>1</v>
      </c>
      <c r="C6" s="134">
        <v>27</v>
      </c>
      <c r="D6" s="128">
        <v>237.19</v>
      </c>
      <c r="E6" s="128">
        <v>199.23</v>
      </c>
      <c r="F6" s="128">
        <v>1148.17</v>
      </c>
      <c r="G6" s="128">
        <v>155.62</v>
      </c>
      <c r="H6" s="128">
        <v>91.59</v>
      </c>
      <c r="I6" s="128">
        <v>49.12</v>
      </c>
      <c r="J6" s="128">
        <v>205.56</v>
      </c>
      <c r="K6" s="128">
        <v>212.91</v>
      </c>
      <c r="L6" s="128">
        <v>34.97</v>
      </c>
      <c r="M6" s="128">
        <v>112.84</v>
      </c>
      <c r="N6" s="128">
        <v>41.17</v>
      </c>
      <c r="P6" s="130" t="s">
        <v>1</v>
      </c>
      <c r="Q6" s="134">
        <v>27</v>
      </c>
      <c r="R6" s="128">
        <v>369.34</v>
      </c>
      <c r="S6" s="128">
        <v>363.55</v>
      </c>
      <c r="T6" s="128">
        <v>363.45</v>
      </c>
    </row>
    <row r="7" spans="2:20" x14ac:dyDescent="0.25">
      <c r="B7" s="130" t="s">
        <v>227</v>
      </c>
      <c r="C7" s="134">
        <v>53</v>
      </c>
      <c r="D7" s="128">
        <v>0.49</v>
      </c>
      <c r="E7" s="128">
        <v>0.53</v>
      </c>
      <c r="F7" s="128">
        <v>2.94</v>
      </c>
      <c r="G7" s="128">
        <v>1.53</v>
      </c>
      <c r="H7" s="128">
        <v>1.57</v>
      </c>
      <c r="I7" s="128">
        <v>1.32</v>
      </c>
      <c r="J7" s="128">
        <v>1.05</v>
      </c>
      <c r="K7" s="128">
        <v>1.39</v>
      </c>
      <c r="L7" s="128">
        <v>0.28999999999999998</v>
      </c>
      <c r="M7" s="128">
        <v>0.35</v>
      </c>
      <c r="N7" s="128">
        <v>0.56000000000000005</v>
      </c>
      <c r="P7" s="130" t="s">
        <v>227</v>
      </c>
      <c r="Q7" s="134">
        <v>53</v>
      </c>
      <c r="R7" s="128">
        <v>7.69</v>
      </c>
      <c r="S7" s="128">
        <v>7.41</v>
      </c>
      <c r="T7" s="128">
        <v>7.56</v>
      </c>
    </row>
    <row r="8" spans="2:20" x14ac:dyDescent="0.25">
      <c r="B8" s="130" t="s">
        <v>228</v>
      </c>
      <c r="C8" s="134">
        <v>55</v>
      </c>
      <c r="D8" s="128">
        <v>37.08</v>
      </c>
      <c r="E8" s="128">
        <v>18.66</v>
      </c>
      <c r="F8" s="128">
        <v>23.85</v>
      </c>
      <c r="G8" s="128">
        <v>58.04</v>
      </c>
      <c r="H8" s="128">
        <v>11.24</v>
      </c>
      <c r="I8" s="128">
        <v>40.229999999999997</v>
      </c>
      <c r="J8" s="128">
        <v>41.81</v>
      </c>
      <c r="K8" s="128">
        <v>53.45</v>
      </c>
      <c r="L8" s="128">
        <v>1.7</v>
      </c>
      <c r="M8" s="128">
        <v>6.6</v>
      </c>
      <c r="N8" s="128">
        <v>5.84</v>
      </c>
      <c r="P8" s="130" t="s">
        <v>228</v>
      </c>
      <c r="Q8" s="134">
        <v>55</v>
      </c>
      <c r="R8" s="128">
        <v>36.729999999999997</v>
      </c>
      <c r="S8" s="128">
        <v>35.380000000000003</v>
      </c>
      <c r="T8" s="128">
        <v>36.28</v>
      </c>
    </row>
    <row r="9" spans="2:20" x14ac:dyDescent="0.25">
      <c r="B9" s="130" t="s">
        <v>229</v>
      </c>
      <c r="C9" s="134">
        <v>63</v>
      </c>
      <c r="D9" s="128">
        <v>0.95</v>
      </c>
      <c r="E9" s="128">
        <v>1.0900000000000001</v>
      </c>
      <c r="F9" s="128">
        <v>3.33</v>
      </c>
      <c r="G9" s="128">
        <v>2.85</v>
      </c>
      <c r="H9" s="128">
        <v>2.68</v>
      </c>
      <c r="I9" s="128">
        <v>1.98</v>
      </c>
      <c r="J9" s="128">
        <v>0.98</v>
      </c>
      <c r="K9" s="128">
        <v>2.94</v>
      </c>
      <c r="L9" s="128">
        <v>0.59</v>
      </c>
      <c r="M9" s="128">
        <v>0.86</v>
      </c>
      <c r="N9" s="128">
        <v>0.77</v>
      </c>
      <c r="P9" s="130" t="s">
        <v>229</v>
      </c>
      <c r="Q9" s="134">
        <v>63</v>
      </c>
      <c r="R9" s="128">
        <v>37.14</v>
      </c>
      <c r="S9" s="128">
        <v>36.270000000000003</v>
      </c>
      <c r="T9" s="128">
        <v>36.770000000000003</v>
      </c>
    </row>
    <row r="10" spans="2:20" x14ac:dyDescent="0.25">
      <c r="B10" s="130" t="s">
        <v>230</v>
      </c>
      <c r="C10" s="134">
        <v>66</v>
      </c>
      <c r="D10" s="128">
        <v>3.78</v>
      </c>
      <c r="E10" s="128">
        <v>3.2</v>
      </c>
      <c r="F10" s="128">
        <v>10.32</v>
      </c>
      <c r="G10" s="128">
        <v>0.96</v>
      </c>
      <c r="H10" s="128">
        <v>1.1100000000000001</v>
      </c>
      <c r="I10" s="128">
        <v>1.39</v>
      </c>
      <c r="J10" s="128">
        <v>3.04</v>
      </c>
      <c r="K10" s="128">
        <v>2.61</v>
      </c>
      <c r="L10" s="128">
        <v>1.61</v>
      </c>
      <c r="M10" s="128">
        <v>4.05</v>
      </c>
      <c r="N10" s="128">
        <v>0.56000000000000005</v>
      </c>
      <c r="P10" s="130" t="s">
        <v>230</v>
      </c>
      <c r="Q10" s="134">
        <v>66</v>
      </c>
      <c r="R10" s="128">
        <v>36.35</v>
      </c>
      <c r="S10" s="128">
        <v>35.299999999999997</v>
      </c>
      <c r="T10" s="128">
        <v>36.21</v>
      </c>
    </row>
    <row r="11" spans="2:20" x14ac:dyDescent="0.25">
      <c r="B11" s="130" t="s">
        <v>231</v>
      </c>
      <c r="C11" s="134">
        <v>75</v>
      </c>
      <c r="D11" s="128">
        <v>0.25</v>
      </c>
      <c r="E11" s="128">
        <v>0.33</v>
      </c>
      <c r="F11" s="128">
        <v>0.56000000000000005</v>
      </c>
      <c r="G11" s="128">
        <v>0.8</v>
      </c>
      <c r="H11" s="128">
        <v>0.5</v>
      </c>
      <c r="I11" s="128">
        <v>0.72</v>
      </c>
      <c r="J11" s="128">
        <v>0.32</v>
      </c>
      <c r="K11" s="128">
        <v>0.59</v>
      </c>
      <c r="L11" s="128">
        <v>0.11</v>
      </c>
      <c r="M11" s="128">
        <v>0.19</v>
      </c>
      <c r="N11" s="128">
        <v>0.32</v>
      </c>
      <c r="P11" s="130" t="s">
        <v>231</v>
      </c>
      <c r="Q11" s="134">
        <v>75</v>
      </c>
      <c r="R11" s="128">
        <v>7.25</v>
      </c>
      <c r="S11" s="128">
        <v>7.17</v>
      </c>
      <c r="T11" s="128">
        <v>7.28</v>
      </c>
    </row>
    <row r="12" spans="2:20" x14ac:dyDescent="0.25">
      <c r="B12" s="130" t="s">
        <v>232</v>
      </c>
      <c r="C12" s="134">
        <v>111</v>
      </c>
      <c r="D12" s="128">
        <v>0.02</v>
      </c>
      <c r="E12" s="128">
        <v>0.01</v>
      </c>
      <c r="F12" s="128">
        <v>0.04</v>
      </c>
      <c r="G12" s="128">
        <v>0.02</v>
      </c>
      <c r="H12" s="128">
        <v>0.01</v>
      </c>
      <c r="I12" s="128">
        <v>0.01</v>
      </c>
      <c r="J12" s="128">
        <v>0.01</v>
      </c>
      <c r="K12" s="128">
        <v>0.01</v>
      </c>
      <c r="L12" s="128">
        <v>0.01</v>
      </c>
      <c r="M12" s="128">
        <v>0.02</v>
      </c>
      <c r="N12" s="128">
        <v>0.01</v>
      </c>
      <c r="P12" s="130" t="s">
        <v>232</v>
      </c>
      <c r="Q12" s="134">
        <v>111</v>
      </c>
      <c r="R12" s="128">
        <v>7.37</v>
      </c>
      <c r="S12" s="128">
        <v>7.16</v>
      </c>
      <c r="T12" s="128">
        <v>7.36</v>
      </c>
    </row>
    <row r="13" spans="2:20" x14ac:dyDescent="0.25">
      <c r="B13" s="130" t="s">
        <v>233</v>
      </c>
      <c r="C13" s="134">
        <v>118</v>
      </c>
      <c r="D13" s="128">
        <v>0.04</v>
      </c>
      <c r="E13" s="128">
        <v>0.04</v>
      </c>
      <c r="F13" s="128">
        <v>0.12</v>
      </c>
      <c r="G13" s="128">
        <v>0.03</v>
      </c>
      <c r="H13" s="128">
        <v>0.03</v>
      </c>
      <c r="I13" s="128">
        <v>0.03</v>
      </c>
      <c r="J13" s="128">
        <v>0.06</v>
      </c>
      <c r="K13" s="128">
        <v>0.04</v>
      </c>
      <c r="L13" s="128">
        <v>0.02</v>
      </c>
      <c r="M13" s="128">
        <v>0.03</v>
      </c>
      <c r="N13" s="128">
        <v>0.02</v>
      </c>
      <c r="P13" s="130" t="s">
        <v>233</v>
      </c>
      <c r="Q13" s="134">
        <v>118</v>
      </c>
      <c r="R13" s="128">
        <v>7.4</v>
      </c>
      <c r="S13" s="128">
        <v>7.2</v>
      </c>
      <c r="T13" s="128">
        <v>7.42</v>
      </c>
    </row>
    <row r="14" spans="2:20" x14ac:dyDescent="0.25">
      <c r="B14" s="130" t="s">
        <v>234</v>
      </c>
      <c r="C14" s="134">
        <v>206</v>
      </c>
      <c r="D14" s="128">
        <v>0.33</v>
      </c>
      <c r="E14" s="128">
        <v>0.24</v>
      </c>
      <c r="F14" s="128">
        <v>1.64</v>
      </c>
      <c r="G14" s="128">
        <v>0.19</v>
      </c>
      <c r="H14" s="128">
        <v>0.17</v>
      </c>
      <c r="I14" s="128">
        <v>0.09</v>
      </c>
      <c r="J14" s="128">
        <v>0.23</v>
      </c>
      <c r="K14" s="128">
        <v>0.37</v>
      </c>
      <c r="L14" s="128">
        <v>0.06</v>
      </c>
      <c r="M14" s="128">
        <v>0.21</v>
      </c>
      <c r="N14" s="128">
        <v>7.0000000000000007E-2</v>
      </c>
      <c r="P14" s="130" t="s">
        <v>234</v>
      </c>
      <c r="Q14" s="134">
        <v>206</v>
      </c>
      <c r="R14" s="128">
        <v>7.94</v>
      </c>
      <c r="S14" s="128">
        <v>7.62</v>
      </c>
      <c r="T14" s="128">
        <v>7.48</v>
      </c>
    </row>
    <row r="15" spans="2:20" x14ac:dyDescent="0.25">
      <c r="B15" s="130" t="s">
        <v>234</v>
      </c>
      <c r="C15" s="134">
        <v>207</v>
      </c>
      <c r="D15" s="128">
        <v>0.37</v>
      </c>
      <c r="E15" s="128">
        <v>0.27</v>
      </c>
      <c r="F15" s="128">
        <v>1.81</v>
      </c>
      <c r="G15" s="128">
        <v>0.21</v>
      </c>
      <c r="H15" s="128">
        <v>0.19</v>
      </c>
      <c r="I15" s="128">
        <v>0.11</v>
      </c>
      <c r="J15" s="128">
        <v>0.27</v>
      </c>
      <c r="K15" s="128">
        <v>0.42</v>
      </c>
      <c r="L15" s="128">
        <v>7.0000000000000007E-2</v>
      </c>
      <c r="M15" s="128">
        <v>0.24</v>
      </c>
      <c r="N15" s="128">
        <v>0.08</v>
      </c>
      <c r="P15" s="130" t="s">
        <v>234</v>
      </c>
      <c r="Q15" s="134">
        <v>207</v>
      </c>
      <c r="R15" s="128">
        <v>7.89</v>
      </c>
      <c r="S15" s="128">
        <v>7.67</v>
      </c>
      <c r="T15" s="128">
        <v>7.5</v>
      </c>
    </row>
    <row r="16" spans="2:20" x14ac:dyDescent="0.25">
      <c r="B16" s="130" t="s">
        <v>234</v>
      </c>
      <c r="C16" s="134">
        <v>208</v>
      </c>
      <c r="D16" s="128">
        <v>0.36</v>
      </c>
      <c r="E16" s="128">
        <v>0.27</v>
      </c>
      <c r="F16" s="128">
        <v>1.78</v>
      </c>
      <c r="G16" s="128">
        <v>0.21</v>
      </c>
      <c r="H16" s="128">
        <v>0.19</v>
      </c>
      <c r="I16" s="128">
        <v>0.1</v>
      </c>
      <c r="J16" s="128">
        <v>0.26</v>
      </c>
      <c r="K16" s="128">
        <v>0.4</v>
      </c>
      <c r="L16" s="128">
        <v>7.0000000000000007E-2</v>
      </c>
      <c r="M16" s="128">
        <v>0.23</v>
      </c>
      <c r="N16" s="128">
        <v>0.08</v>
      </c>
      <c r="P16" s="130" t="s">
        <v>234</v>
      </c>
      <c r="Q16" s="134">
        <v>208</v>
      </c>
      <c r="R16" s="128">
        <v>7.9</v>
      </c>
      <c r="S16" s="128">
        <v>7.62</v>
      </c>
      <c r="T16" s="128">
        <v>7.45</v>
      </c>
    </row>
    <row r="19" spans="2:14" x14ac:dyDescent="0.25">
      <c r="B19" s="131"/>
      <c r="C19" s="132"/>
      <c r="D19" s="133" t="s">
        <v>235</v>
      </c>
      <c r="E19" s="133" t="s">
        <v>236</v>
      </c>
      <c r="F19" s="133" t="s">
        <v>237</v>
      </c>
      <c r="G19" s="133" t="s">
        <v>238</v>
      </c>
      <c r="H19" s="133" t="s">
        <v>239</v>
      </c>
      <c r="I19" s="133" t="s">
        <v>240</v>
      </c>
      <c r="J19" s="133" t="s">
        <v>241</v>
      </c>
      <c r="K19" s="133" t="s">
        <v>242</v>
      </c>
      <c r="L19" s="133" t="s">
        <v>243</v>
      </c>
      <c r="M19" s="133" t="s">
        <v>244</v>
      </c>
      <c r="N19" s="133" t="s">
        <v>245</v>
      </c>
    </row>
    <row r="20" spans="2:14" x14ac:dyDescent="0.25">
      <c r="B20" s="130" t="s">
        <v>2</v>
      </c>
      <c r="C20" s="134">
        <v>57</v>
      </c>
      <c r="D20" s="128">
        <v>201.4</v>
      </c>
      <c r="E20" s="128">
        <v>195.61</v>
      </c>
      <c r="F20" s="128">
        <v>125.62</v>
      </c>
      <c r="G20" s="128">
        <v>126.13</v>
      </c>
      <c r="H20" s="128">
        <v>118.37</v>
      </c>
      <c r="I20" s="128">
        <v>133.13999999999999</v>
      </c>
      <c r="J20" s="128">
        <v>306.81</v>
      </c>
      <c r="K20" s="128">
        <v>233.42</v>
      </c>
      <c r="L20" s="128">
        <v>54.5</v>
      </c>
      <c r="M20" s="128">
        <v>117.91</v>
      </c>
      <c r="N20" s="128">
        <v>61.71</v>
      </c>
    </row>
    <row r="21" spans="2:14" x14ac:dyDescent="0.25">
      <c r="B21" s="130" t="s">
        <v>1</v>
      </c>
      <c r="C21" s="134">
        <v>27</v>
      </c>
      <c r="D21" s="128">
        <v>122.41</v>
      </c>
      <c r="E21" s="128">
        <v>103.22</v>
      </c>
      <c r="F21" s="128">
        <v>97.63</v>
      </c>
      <c r="G21" s="128">
        <v>32.11</v>
      </c>
      <c r="H21" s="128">
        <v>19.04</v>
      </c>
      <c r="I21" s="128">
        <v>5.66</v>
      </c>
      <c r="J21" s="128">
        <v>100.82</v>
      </c>
      <c r="K21" s="128">
        <v>32.33</v>
      </c>
      <c r="L21" s="128">
        <v>7.56</v>
      </c>
      <c r="M21" s="128">
        <v>1.89</v>
      </c>
      <c r="N21" s="128">
        <v>64.209999999999994</v>
      </c>
    </row>
    <row r="22" spans="2:14" x14ac:dyDescent="0.25">
      <c r="B22" s="130" t="s">
        <v>227</v>
      </c>
      <c r="C22" s="134">
        <v>53</v>
      </c>
      <c r="D22" s="128">
        <v>0.24</v>
      </c>
      <c r="E22" s="128">
        <v>0.26</v>
      </c>
      <c r="F22" s="128">
        <v>0.79</v>
      </c>
      <c r="G22" s="128">
        <v>1.18</v>
      </c>
      <c r="H22" s="128">
        <v>1.39</v>
      </c>
      <c r="I22" s="128">
        <v>1.29</v>
      </c>
      <c r="J22" s="128">
        <v>0.8</v>
      </c>
      <c r="K22" s="128">
        <v>1.1100000000000001</v>
      </c>
      <c r="L22" s="128">
        <v>0.21</v>
      </c>
      <c r="M22" s="128">
        <v>0.6</v>
      </c>
      <c r="N22" s="128">
        <v>0.25</v>
      </c>
    </row>
    <row r="23" spans="2:14" x14ac:dyDescent="0.25">
      <c r="B23" s="130" t="s">
        <v>228</v>
      </c>
      <c r="C23" s="134">
        <v>55</v>
      </c>
      <c r="D23" s="128">
        <v>22.87</v>
      </c>
      <c r="E23" s="128">
        <v>7.07</v>
      </c>
      <c r="F23" s="128">
        <v>9.49</v>
      </c>
      <c r="G23" s="128">
        <v>2.4700000000000002</v>
      </c>
      <c r="H23" s="128">
        <v>7.07</v>
      </c>
      <c r="I23" s="128">
        <v>27.65</v>
      </c>
      <c r="J23" s="128">
        <v>25.39</v>
      </c>
      <c r="K23" s="128">
        <v>45.66</v>
      </c>
      <c r="L23" s="128">
        <v>0.2</v>
      </c>
      <c r="M23" s="128">
        <v>0.14000000000000001</v>
      </c>
      <c r="N23" s="128">
        <v>1.49</v>
      </c>
    </row>
    <row r="24" spans="2:14" x14ac:dyDescent="0.25">
      <c r="B24" s="130" t="s">
        <v>229</v>
      </c>
      <c r="C24" s="134">
        <v>63</v>
      </c>
      <c r="D24" s="128">
        <v>0.81</v>
      </c>
      <c r="E24" s="128">
        <v>0.88</v>
      </c>
      <c r="F24" s="128">
        <v>1.55</v>
      </c>
      <c r="G24" s="128">
        <v>2.67</v>
      </c>
      <c r="H24" s="128">
        <v>2.4300000000000002</v>
      </c>
      <c r="I24" s="128">
        <v>1.9</v>
      </c>
      <c r="J24" s="128">
        <v>0.8</v>
      </c>
      <c r="K24" s="128">
        <v>2.5099999999999998</v>
      </c>
      <c r="L24" s="128">
        <v>0.53</v>
      </c>
      <c r="M24" s="128">
        <v>0.73</v>
      </c>
      <c r="N24" s="128">
        <v>0.73</v>
      </c>
    </row>
    <row r="25" spans="2:14" x14ac:dyDescent="0.25">
      <c r="B25" s="130" t="s">
        <v>230</v>
      </c>
      <c r="C25" s="134">
        <v>66</v>
      </c>
      <c r="D25" s="128">
        <v>4.6900000000000004</v>
      </c>
      <c r="E25" s="128">
        <v>3.02</v>
      </c>
      <c r="F25" s="128">
        <v>3.93</v>
      </c>
      <c r="G25" s="128">
        <v>0.94</v>
      </c>
      <c r="H25" s="128">
        <v>1.59</v>
      </c>
      <c r="I25" s="128">
        <v>3.23</v>
      </c>
      <c r="J25" s="128">
        <v>3.58</v>
      </c>
      <c r="K25" s="128">
        <v>2.0099999999999998</v>
      </c>
      <c r="L25" s="128">
        <v>1.66</v>
      </c>
      <c r="M25" s="128">
        <v>2.72</v>
      </c>
      <c r="N25" s="128">
        <v>3.87</v>
      </c>
    </row>
    <row r="26" spans="2:14" x14ac:dyDescent="0.25">
      <c r="B26" s="130" t="s">
        <v>231</v>
      </c>
      <c r="C26" s="134">
        <v>75</v>
      </c>
      <c r="D26" s="128">
        <v>0.23</v>
      </c>
      <c r="E26" s="128">
        <v>0.24</v>
      </c>
      <c r="F26" s="128">
        <v>0.41</v>
      </c>
      <c r="G26" s="128">
        <v>0.73</v>
      </c>
      <c r="H26" s="128">
        <v>0.5</v>
      </c>
      <c r="I26" s="128">
        <v>0.72</v>
      </c>
      <c r="J26" s="128">
        <v>0.31</v>
      </c>
      <c r="K26" s="128">
        <v>0.53</v>
      </c>
      <c r="L26" s="128">
        <v>0.11</v>
      </c>
      <c r="M26" s="128">
        <v>0.33</v>
      </c>
      <c r="N26" s="128">
        <v>0.18</v>
      </c>
    </row>
    <row r="27" spans="2:14" x14ac:dyDescent="0.25">
      <c r="B27" s="130" t="s">
        <v>232</v>
      </c>
      <c r="C27" s="134">
        <v>111</v>
      </c>
      <c r="D27" s="128">
        <v>0.02</v>
      </c>
      <c r="E27" s="128">
        <v>0.01</v>
      </c>
      <c r="F27" s="128">
        <v>0.01</v>
      </c>
      <c r="G27" s="128">
        <v>0</v>
      </c>
      <c r="H27" s="128">
        <v>0</v>
      </c>
      <c r="I27" s="128">
        <v>0</v>
      </c>
      <c r="J27" s="128">
        <v>0.01</v>
      </c>
      <c r="K27" s="128">
        <v>0</v>
      </c>
      <c r="L27" s="128">
        <v>0</v>
      </c>
      <c r="M27" s="128">
        <v>0</v>
      </c>
      <c r="N27" s="128">
        <v>0.01</v>
      </c>
    </row>
    <row r="28" spans="2:14" x14ac:dyDescent="0.25">
      <c r="B28" s="130" t="s">
        <v>233</v>
      </c>
      <c r="C28" s="134">
        <v>118</v>
      </c>
      <c r="D28" s="128">
        <v>0.05</v>
      </c>
      <c r="E28" s="128">
        <v>7.0000000000000007E-2</v>
      </c>
      <c r="F28" s="128">
        <v>0.05</v>
      </c>
      <c r="G28" s="128">
        <v>0.03</v>
      </c>
      <c r="H28" s="128">
        <v>0.03</v>
      </c>
      <c r="I28" s="128">
        <v>0.08</v>
      </c>
      <c r="J28" s="128">
        <v>0.03</v>
      </c>
      <c r="K28" s="128">
        <v>0.06</v>
      </c>
      <c r="L28" s="128">
        <v>0.05</v>
      </c>
      <c r="M28" s="128">
        <v>0.04</v>
      </c>
      <c r="N28" s="128">
        <v>0.04</v>
      </c>
    </row>
    <row r="29" spans="2:14" x14ac:dyDescent="0.25">
      <c r="B29" s="130" t="s">
        <v>234</v>
      </c>
      <c r="C29" s="134">
        <v>206</v>
      </c>
      <c r="D29" s="128">
        <v>0.13</v>
      </c>
      <c r="E29" s="128">
        <v>0.1</v>
      </c>
      <c r="F29" s="128">
        <v>0.23</v>
      </c>
      <c r="G29" s="128">
        <v>0.26</v>
      </c>
      <c r="H29" s="128">
        <v>0.02</v>
      </c>
      <c r="I29" s="128">
        <v>0.02</v>
      </c>
      <c r="J29" s="128">
        <v>0.11</v>
      </c>
      <c r="K29" s="128">
        <v>0.1</v>
      </c>
      <c r="L29" s="128">
        <v>0.01</v>
      </c>
      <c r="M29" s="128">
        <v>0</v>
      </c>
      <c r="N29" s="128">
        <v>0.04</v>
      </c>
    </row>
    <row r="30" spans="2:14" x14ac:dyDescent="0.25">
      <c r="B30" s="130" t="s">
        <v>234</v>
      </c>
      <c r="C30" s="134">
        <v>207</v>
      </c>
      <c r="D30" s="128">
        <v>0.15</v>
      </c>
      <c r="E30" s="128">
        <v>0.11</v>
      </c>
      <c r="F30" s="128">
        <v>0.26</v>
      </c>
      <c r="G30" s="128">
        <v>0.31</v>
      </c>
      <c r="H30" s="128">
        <v>0.02</v>
      </c>
      <c r="I30" s="128">
        <v>0.02</v>
      </c>
      <c r="J30" s="128">
        <v>0.12</v>
      </c>
      <c r="K30" s="128">
        <v>0.12</v>
      </c>
      <c r="L30" s="128">
        <v>0.01</v>
      </c>
      <c r="M30" s="128">
        <v>0.01</v>
      </c>
      <c r="N30" s="128">
        <v>0.05</v>
      </c>
    </row>
    <row r="31" spans="2:14" x14ac:dyDescent="0.25">
      <c r="B31" s="130" t="s">
        <v>234</v>
      </c>
      <c r="C31" s="134">
        <v>208</v>
      </c>
      <c r="D31" s="128">
        <v>0.14000000000000001</v>
      </c>
      <c r="E31" s="128">
        <v>0.11</v>
      </c>
      <c r="F31" s="128">
        <v>0.25</v>
      </c>
      <c r="G31" s="128">
        <v>0.28999999999999998</v>
      </c>
      <c r="H31" s="128">
        <v>0.01</v>
      </c>
      <c r="I31" s="128">
        <v>0.02</v>
      </c>
      <c r="J31" s="128">
        <v>0.11</v>
      </c>
      <c r="K31" s="128">
        <v>0.11</v>
      </c>
      <c r="L31" s="128">
        <v>0</v>
      </c>
      <c r="M31" s="128">
        <v>0.01</v>
      </c>
      <c r="N31" s="128">
        <v>0.05</v>
      </c>
    </row>
    <row r="33" spans="2:15" x14ac:dyDescent="0.25">
      <c r="M33" s="128" t="s">
        <v>246</v>
      </c>
      <c r="N33" s="128" t="s">
        <v>247</v>
      </c>
    </row>
    <row r="34" spans="2:15" x14ac:dyDescent="0.25">
      <c r="B34" s="131"/>
      <c r="C34" s="132"/>
      <c r="D34" s="133" t="s">
        <v>106</v>
      </c>
      <c r="E34" s="133" t="s">
        <v>107</v>
      </c>
      <c r="F34" s="133" t="s">
        <v>108</v>
      </c>
      <c r="G34" s="133" t="s">
        <v>248</v>
      </c>
      <c r="H34" s="133" t="s">
        <v>249</v>
      </c>
      <c r="I34" s="133" t="s">
        <v>250</v>
      </c>
      <c r="J34" s="133" t="s">
        <v>251</v>
      </c>
      <c r="K34" s="133" t="s">
        <v>252</v>
      </c>
      <c r="L34" s="133" t="s">
        <v>253</v>
      </c>
      <c r="M34" s="133" t="s">
        <v>254</v>
      </c>
      <c r="N34" s="133" t="s">
        <v>255</v>
      </c>
    </row>
    <row r="35" spans="2:15" x14ac:dyDescent="0.25">
      <c r="B35" s="130" t="s">
        <v>2</v>
      </c>
      <c r="C35" s="134">
        <v>57</v>
      </c>
      <c r="D35" s="128">
        <v>-0.63</v>
      </c>
      <c r="E35" s="128">
        <v>-0.43</v>
      </c>
      <c r="F35" s="128">
        <v>0.15</v>
      </c>
      <c r="G35" s="128">
        <v>0.28000000000000003</v>
      </c>
      <c r="H35" s="128">
        <v>0.56000000000000005</v>
      </c>
      <c r="I35" s="128">
        <v>0.91</v>
      </c>
      <c r="J35" s="128">
        <v>0.34</v>
      </c>
      <c r="K35" s="128">
        <f>AVERAGE(D35:J35)</f>
        <v>0.16857142857142859</v>
      </c>
      <c r="L35" s="128">
        <f>STDEV(D35:J35)</f>
        <v>0.53868446458103125</v>
      </c>
      <c r="M35" s="135">
        <f>3*L35</f>
        <v>1.6160533937430936</v>
      </c>
      <c r="N35" s="136">
        <f>10*L35</f>
        <v>5.3868446458103127</v>
      </c>
      <c r="O35" s="87" t="s">
        <v>256</v>
      </c>
    </row>
    <row r="36" spans="2:15" x14ac:dyDescent="0.25">
      <c r="B36" s="130" t="s">
        <v>1</v>
      </c>
      <c r="C36" s="134">
        <v>27</v>
      </c>
      <c r="D36" s="128">
        <v>-0.08</v>
      </c>
      <c r="E36" s="128">
        <v>-0.24</v>
      </c>
      <c r="F36" s="128">
        <v>-0.25</v>
      </c>
      <c r="G36" s="128">
        <v>-0.25</v>
      </c>
      <c r="H36" s="128">
        <v>-0.26</v>
      </c>
      <c r="I36" s="128">
        <v>-0.17</v>
      </c>
      <c r="J36" s="128">
        <v>-0.23</v>
      </c>
      <c r="K36" s="128">
        <f t="shared" ref="K36:K46" si="0">AVERAGE(D36:J36)</f>
        <v>-0.21142857142857144</v>
      </c>
      <c r="L36" s="128">
        <f t="shared" ref="L36:L46" si="1">STDEV(D36:J36)</f>
        <v>6.5173760422573793E-2</v>
      </c>
      <c r="M36" s="135">
        <f t="shared" ref="M36:M46" si="2">3*L36</f>
        <v>0.19552128126772139</v>
      </c>
      <c r="N36" s="136">
        <f t="shared" ref="N36:N46" si="3">10*L36</f>
        <v>0.6517376042257379</v>
      </c>
    </row>
    <row r="37" spans="2:15" x14ac:dyDescent="0.25">
      <c r="B37" s="130" t="s">
        <v>227</v>
      </c>
      <c r="C37" s="134">
        <v>53</v>
      </c>
      <c r="D37" s="128">
        <v>0.04</v>
      </c>
      <c r="E37" s="128">
        <v>0.01</v>
      </c>
      <c r="F37" s="128">
        <v>0</v>
      </c>
      <c r="G37" s="128">
        <v>0</v>
      </c>
      <c r="H37" s="128">
        <v>-0.01</v>
      </c>
      <c r="I37" s="128">
        <v>0</v>
      </c>
      <c r="J37" s="128">
        <v>-0.01</v>
      </c>
      <c r="K37" s="128">
        <f t="shared" si="0"/>
        <v>4.2857142857142859E-3</v>
      </c>
      <c r="L37" s="128">
        <f t="shared" si="1"/>
        <v>1.718249385968449E-2</v>
      </c>
      <c r="M37" s="137">
        <f t="shared" si="2"/>
        <v>5.1547481579053471E-2</v>
      </c>
      <c r="N37" s="138">
        <f t="shared" si="3"/>
        <v>0.17182493859684489</v>
      </c>
    </row>
    <row r="38" spans="2:15" x14ac:dyDescent="0.25">
      <c r="B38" s="130" t="s">
        <v>228</v>
      </c>
      <c r="C38" s="134">
        <v>55</v>
      </c>
      <c r="D38" s="128">
        <v>-0.01</v>
      </c>
      <c r="E38" s="128">
        <v>-0.02</v>
      </c>
      <c r="F38" s="128">
        <v>-0.02</v>
      </c>
      <c r="G38" s="128">
        <v>-0.02</v>
      </c>
      <c r="H38" s="128">
        <v>-0.02</v>
      </c>
      <c r="I38" s="128">
        <v>-0.02</v>
      </c>
      <c r="J38" s="128">
        <v>-0.02</v>
      </c>
      <c r="K38" s="128">
        <f t="shared" si="0"/>
        <v>-1.8571428571428572E-2</v>
      </c>
      <c r="L38" s="128">
        <f t="shared" si="1"/>
        <v>3.7796447300922722E-3</v>
      </c>
      <c r="M38" s="137">
        <f t="shared" si="2"/>
        <v>1.1338934190276817E-2</v>
      </c>
      <c r="N38" s="138">
        <f t="shared" si="3"/>
        <v>3.7796447300922721E-2</v>
      </c>
    </row>
    <row r="39" spans="2:15" x14ac:dyDescent="0.25">
      <c r="B39" s="130" t="s">
        <v>229</v>
      </c>
      <c r="C39" s="134">
        <v>63</v>
      </c>
      <c r="D39" s="128">
        <v>0.02</v>
      </c>
      <c r="E39" s="128">
        <v>0</v>
      </c>
      <c r="F39" s="128">
        <v>0</v>
      </c>
      <c r="G39" s="128">
        <v>0</v>
      </c>
      <c r="H39" s="128">
        <v>0.01</v>
      </c>
      <c r="I39" s="128">
        <v>0.01</v>
      </c>
      <c r="J39" s="128">
        <v>0.01</v>
      </c>
      <c r="K39" s="128">
        <f t="shared" si="0"/>
        <v>7.1428571428571435E-3</v>
      </c>
      <c r="L39" s="128">
        <f t="shared" si="1"/>
        <v>7.5592894601845453E-3</v>
      </c>
      <c r="M39" s="137">
        <f t="shared" si="2"/>
        <v>2.2677868380553634E-2</v>
      </c>
      <c r="N39" s="138">
        <f t="shared" si="3"/>
        <v>7.5592894601845456E-2</v>
      </c>
    </row>
    <row r="40" spans="2:15" x14ac:dyDescent="0.25">
      <c r="B40" s="130" t="s">
        <v>230</v>
      </c>
      <c r="C40" s="134">
        <v>66</v>
      </c>
      <c r="D40" s="128">
        <v>0.01</v>
      </c>
      <c r="E40" s="128">
        <v>0</v>
      </c>
      <c r="F40" s="128">
        <v>-0.01</v>
      </c>
      <c r="G40" s="128">
        <v>0</v>
      </c>
      <c r="H40" s="128">
        <v>0</v>
      </c>
      <c r="I40" s="128">
        <v>0.01</v>
      </c>
      <c r="J40" s="128">
        <v>0</v>
      </c>
      <c r="K40" s="128">
        <f t="shared" si="0"/>
        <v>1.4285714285714286E-3</v>
      </c>
      <c r="L40" s="128">
        <f t="shared" si="1"/>
        <v>6.9006555934235424E-3</v>
      </c>
      <c r="M40" s="137">
        <f t="shared" si="2"/>
        <v>2.0701966780270628E-2</v>
      </c>
      <c r="N40" s="138">
        <f t="shared" si="3"/>
        <v>6.9006555934235422E-2</v>
      </c>
    </row>
    <row r="41" spans="2:15" x14ac:dyDescent="0.25">
      <c r="B41" s="130" t="s">
        <v>231</v>
      </c>
      <c r="C41" s="134">
        <v>75</v>
      </c>
      <c r="D41" s="128">
        <v>0</v>
      </c>
      <c r="E41" s="128">
        <v>0</v>
      </c>
      <c r="F41" s="128">
        <v>0</v>
      </c>
      <c r="G41" s="128">
        <v>0</v>
      </c>
      <c r="H41" s="128">
        <v>-0.01</v>
      </c>
      <c r="I41" s="128">
        <v>-0.01</v>
      </c>
      <c r="J41" s="128">
        <v>0</v>
      </c>
      <c r="K41" s="128">
        <f t="shared" si="0"/>
        <v>-2.8571428571428571E-3</v>
      </c>
      <c r="L41" s="128">
        <f t="shared" si="1"/>
        <v>4.8795003647426659E-3</v>
      </c>
      <c r="M41" s="137">
        <f t="shared" si="2"/>
        <v>1.4638501094227999E-2</v>
      </c>
      <c r="N41" s="138">
        <f t="shared" si="3"/>
        <v>4.8795003647426657E-2</v>
      </c>
      <c r="O41" s="87" t="s">
        <v>257</v>
      </c>
    </row>
    <row r="42" spans="2:15" x14ac:dyDescent="0.25">
      <c r="B42" s="130" t="s">
        <v>232</v>
      </c>
      <c r="C42" s="134">
        <v>111</v>
      </c>
      <c r="D42" s="128">
        <v>0</v>
      </c>
      <c r="E42" s="128">
        <v>0</v>
      </c>
      <c r="F42" s="128">
        <v>0</v>
      </c>
      <c r="G42" s="128">
        <v>0</v>
      </c>
      <c r="H42" s="128">
        <v>0</v>
      </c>
      <c r="I42" s="128">
        <v>0</v>
      </c>
      <c r="J42" s="128">
        <v>0</v>
      </c>
      <c r="K42" s="128">
        <f t="shared" si="0"/>
        <v>0</v>
      </c>
      <c r="L42" s="128">
        <f t="shared" si="1"/>
        <v>0</v>
      </c>
      <c r="M42" s="137">
        <f t="shared" si="2"/>
        <v>0</v>
      </c>
      <c r="N42" s="138">
        <f t="shared" si="3"/>
        <v>0</v>
      </c>
    </row>
    <row r="43" spans="2:15" x14ac:dyDescent="0.25">
      <c r="B43" s="130" t="s">
        <v>233</v>
      </c>
      <c r="C43" s="134">
        <v>118</v>
      </c>
      <c r="D43" s="128">
        <v>-0.01</v>
      </c>
      <c r="E43" s="128">
        <v>-0.01</v>
      </c>
      <c r="F43" s="128">
        <v>-0.01</v>
      </c>
      <c r="G43" s="128">
        <v>-0.01</v>
      </c>
      <c r="H43" s="128">
        <v>-0.01</v>
      </c>
      <c r="I43" s="128">
        <v>-0.01</v>
      </c>
      <c r="J43" s="128">
        <v>-0.01</v>
      </c>
      <c r="K43" s="128">
        <f t="shared" si="0"/>
        <v>-0.01</v>
      </c>
      <c r="L43" s="128">
        <f t="shared" si="1"/>
        <v>0</v>
      </c>
      <c r="M43" s="137">
        <f t="shared" si="2"/>
        <v>0</v>
      </c>
      <c r="N43" s="138">
        <f t="shared" si="3"/>
        <v>0</v>
      </c>
    </row>
    <row r="44" spans="2:15" x14ac:dyDescent="0.25">
      <c r="B44" s="130" t="s">
        <v>234</v>
      </c>
      <c r="C44" s="134">
        <v>206</v>
      </c>
      <c r="D44" s="128">
        <v>0</v>
      </c>
      <c r="E44" s="128">
        <v>0</v>
      </c>
      <c r="F44" s="128">
        <v>-0.01</v>
      </c>
      <c r="G44" s="128">
        <v>0</v>
      </c>
      <c r="H44" s="128">
        <v>0</v>
      </c>
      <c r="I44" s="128">
        <v>0</v>
      </c>
      <c r="J44" s="128">
        <v>0</v>
      </c>
      <c r="K44" s="128">
        <f t="shared" si="0"/>
        <v>-1.4285714285714286E-3</v>
      </c>
      <c r="L44" s="128">
        <f t="shared" si="1"/>
        <v>3.7796447300922722E-3</v>
      </c>
      <c r="M44" s="137">
        <f t="shared" si="2"/>
        <v>1.1338934190276817E-2</v>
      </c>
      <c r="N44" s="138">
        <f t="shared" si="3"/>
        <v>3.7796447300922721E-2</v>
      </c>
    </row>
    <row r="45" spans="2:15" x14ac:dyDescent="0.25">
      <c r="B45" s="130" t="s">
        <v>234</v>
      </c>
      <c r="C45" s="134">
        <v>207</v>
      </c>
      <c r="D45" s="128">
        <v>0</v>
      </c>
      <c r="E45" s="128">
        <v>0</v>
      </c>
      <c r="F45" s="128">
        <v>0</v>
      </c>
      <c r="G45" s="128">
        <v>0</v>
      </c>
      <c r="H45" s="128">
        <v>0</v>
      </c>
      <c r="I45" s="128">
        <v>0</v>
      </c>
      <c r="J45" s="128">
        <v>0</v>
      </c>
      <c r="K45" s="128">
        <f t="shared" si="0"/>
        <v>0</v>
      </c>
      <c r="L45" s="128">
        <f t="shared" si="1"/>
        <v>0</v>
      </c>
      <c r="M45" s="137">
        <f t="shared" si="2"/>
        <v>0</v>
      </c>
      <c r="N45" s="138">
        <f t="shared" si="3"/>
        <v>0</v>
      </c>
    </row>
    <row r="46" spans="2:15" x14ac:dyDescent="0.25">
      <c r="B46" s="130" t="s">
        <v>234</v>
      </c>
      <c r="C46" s="134">
        <v>208</v>
      </c>
      <c r="D46" s="128">
        <v>0</v>
      </c>
      <c r="E46" s="128">
        <v>-0.01</v>
      </c>
      <c r="F46" s="128">
        <v>0</v>
      </c>
      <c r="G46" s="128">
        <v>-0.01</v>
      </c>
      <c r="H46" s="128">
        <v>0</v>
      </c>
      <c r="I46" s="128">
        <v>-0.01</v>
      </c>
      <c r="J46" s="128">
        <v>0</v>
      </c>
      <c r="K46" s="128">
        <f t="shared" si="0"/>
        <v>-4.2857142857142859E-3</v>
      </c>
      <c r="L46" s="128">
        <f t="shared" si="1"/>
        <v>5.345224838248488E-3</v>
      </c>
      <c r="M46" s="137">
        <f t="shared" si="2"/>
        <v>1.6035674514745465E-2</v>
      </c>
      <c r="N46" s="138">
        <f t="shared" si="3"/>
        <v>5.3452248382484878E-2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G54" sqref="G54"/>
    </sheetView>
  </sheetViews>
  <sheetFormatPr defaultColWidth="11.42578125" defaultRowHeight="12.75" x14ac:dyDescent="0.2"/>
  <cols>
    <col min="1" max="1" width="20.42578125" bestFit="1" customWidth="1"/>
    <col min="2" max="2" width="15.7109375" customWidth="1"/>
    <col min="3" max="3" width="16.28515625" customWidth="1"/>
    <col min="4" max="4" width="21.28515625" customWidth="1"/>
  </cols>
  <sheetData>
    <row r="1" spans="1:2" x14ac:dyDescent="0.2">
      <c r="A1" s="66" t="s">
        <v>109</v>
      </c>
    </row>
    <row r="3" spans="1:2" x14ac:dyDescent="0.2">
      <c r="A3" t="s">
        <v>118</v>
      </c>
      <c r="B3">
        <v>0.21970000000000001</v>
      </c>
    </row>
    <row r="4" spans="1:2" x14ac:dyDescent="0.2">
      <c r="A4" s="85" t="s">
        <v>119</v>
      </c>
      <c r="B4">
        <f>B3*0.22758</f>
        <v>4.9999326000000004E-2</v>
      </c>
    </row>
    <row r="5" spans="1:2" x14ac:dyDescent="0.2">
      <c r="A5" t="s">
        <v>120</v>
      </c>
      <c r="B5">
        <v>1</v>
      </c>
    </row>
    <row r="6" spans="1:2" x14ac:dyDescent="0.2">
      <c r="A6" t="s">
        <v>122</v>
      </c>
      <c r="B6">
        <f>B4*1000000/B5</f>
        <v>49999.326000000001</v>
      </c>
    </row>
    <row r="7" spans="1:2" x14ac:dyDescent="0.2">
      <c r="A7" s="85" t="s">
        <v>121</v>
      </c>
      <c r="B7">
        <f>B6/10</f>
        <v>4999.9326000000001</v>
      </c>
    </row>
    <row r="17" spans="1:4" x14ac:dyDescent="0.2">
      <c r="B17" t="s">
        <v>117</v>
      </c>
      <c r="C17" t="s">
        <v>126</v>
      </c>
      <c r="D17" t="s">
        <v>69</v>
      </c>
    </row>
    <row r="18" spans="1:4" x14ac:dyDescent="0.2">
      <c r="A18" t="s">
        <v>110</v>
      </c>
      <c r="B18">
        <v>0</v>
      </c>
      <c r="C18">
        <v>0</v>
      </c>
      <c r="D18" t="s">
        <v>127</v>
      </c>
    </row>
    <row r="19" spans="1:4" x14ac:dyDescent="0.2">
      <c r="A19" s="85" t="s">
        <v>111</v>
      </c>
      <c r="B19">
        <v>6.0000000000000001E-3</v>
      </c>
      <c r="C19">
        <v>2</v>
      </c>
      <c r="D19" s="85" t="s">
        <v>127</v>
      </c>
    </row>
    <row r="20" spans="1:4" x14ac:dyDescent="0.2">
      <c r="A20" s="85" t="s">
        <v>112</v>
      </c>
      <c r="B20">
        <v>1.7000000000000001E-2</v>
      </c>
      <c r="C20">
        <v>5</v>
      </c>
      <c r="D20" s="85" t="s">
        <v>127</v>
      </c>
    </row>
    <row r="21" spans="1:4" x14ac:dyDescent="0.2">
      <c r="A21" s="85" t="s">
        <v>113</v>
      </c>
      <c r="B21">
        <v>2.8000000000000001E-2</v>
      </c>
      <c r="C21">
        <v>8</v>
      </c>
      <c r="D21" s="85" t="s">
        <v>127</v>
      </c>
    </row>
    <row r="22" spans="1:4" x14ac:dyDescent="0.2">
      <c r="A22" s="85" t="s">
        <v>114</v>
      </c>
      <c r="B22">
        <v>3.4000000000000002E-2</v>
      </c>
      <c r="C22">
        <v>10</v>
      </c>
      <c r="D22" t="s">
        <v>128</v>
      </c>
    </row>
    <row r="23" spans="1:4" x14ac:dyDescent="0.2">
      <c r="A23" s="85" t="s">
        <v>115</v>
      </c>
      <c r="B23">
        <v>0.05</v>
      </c>
      <c r="C23">
        <v>15</v>
      </c>
      <c r="D23" s="85" t="s">
        <v>128</v>
      </c>
    </row>
    <row r="24" spans="1:4" x14ac:dyDescent="0.2">
      <c r="A24" s="85" t="s">
        <v>116</v>
      </c>
      <c r="B24">
        <v>0.121</v>
      </c>
      <c r="C24">
        <v>30</v>
      </c>
      <c r="D24" s="85" t="s">
        <v>128</v>
      </c>
    </row>
    <row r="25" spans="1:4" s="85" customFormat="1" x14ac:dyDescent="0.2">
      <c r="A25" s="85" t="s">
        <v>191</v>
      </c>
      <c r="B25" s="85">
        <v>0.14899999999999999</v>
      </c>
      <c r="C25" s="85">
        <v>40</v>
      </c>
    </row>
    <row r="26" spans="1:4" s="85" customFormat="1" x14ac:dyDescent="0.2">
      <c r="A26" s="85" t="s">
        <v>192</v>
      </c>
      <c r="B26" s="85">
        <v>0.19900000000000001</v>
      </c>
      <c r="C26" s="85">
        <v>60</v>
      </c>
    </row>
    <row r="27" spans="1:4" s="85" customFormat="1" x14ac:dyDescent="0.2">
      <c r="A27" s="85" t="s">
        <v>193</v>
      </c>
      <c r="B27" s="85">
        <v>0.5</v>
      </c>
      <c r="C27" s="85">
        <v>150</v>
      </c>
    </row>
    <row r="28" spans="1:4" s="85" customFormat="1" x14ac:dyDescent="0.2">
      <c r="A28" s="85" t="s">
        <v>194</v>
      </c>
      <c r="B28" s="85">
        <v>0.83099999999999996</v>
      </c>
      <c r="C28" s="85">
        <v>300</v>
      </c>
    </row>
    <row r="29" spans="1:4" s="85" customFormat="1" x14ac:dyDescent="0.2"/>
    <row r="30" spans="1:4" s="85" customFormat="1" x14ac:dyDescent="0.2"/>
    <row r="31" spans="1:4" s="85" customFormat="1" x14ac:dyDescent="0.2"/>
    <row r="33" spans="1:4" x14ac:dyDescent="0.2">
      <c r="A33" t="s">
        <v>123</v>
      </c>
      <c r="B33">
        <f>SLOPE(B18:B25,C18:C25)</f>
        <v>3.8649946638207042E-3</v>
      </c>
    </row>
    <row r="34" spans="1:4" x14ac:dyDescent="0.2">
      <c r="A34" t="s">
        <v>124</v>
      </c>
      <c r="B34">
        <f>INTERCEPT(B18:B25,C18:C25)</f>
        <v>-2.5186766275346814E-3</v>
      </c>
    </row>
    <row r="35" spans="1:4" x14ac:dyDescent="0.2">
      <c r="A35" t="s">
        <v>125</v>
      </c>
      <c r="B35">
        <f>CORREL(B18:B25,C18:C25)</f>
        <v>0.99743182404527975</v>
      </c>
    </row>
    <row r="38" spans="1:4" x14ac:dyDescent="0.2">
      <c r="A38" t="s">
        <v>60</v>
      </c>
      <c r="B38">
        <v>3.0000000000000001E-3</v>
      </c>
    </row>
    <row r="39" spans="1:4" s="85" customFormat="1" x14ac:dyDescent="0.2"/>
    <row r="40" spans="1:4" x14ac:dyDescent="0.2">
      <c r="C40" t="s">
        <v>140</v>
      </c>
    </row>
    <row r="41" spans="1:4" x14ac:dyDescent="0.2">
      <c r="A41" t="s">
        <v>129</v>
      </c>
      <c r="B41">
        <v>3.0000000000000001E-3</v>
      </c>
      <c r="C41">
        <f>B41-$B$38</f>
        <v>0</v>
      </c>
      <c r="D41" s="35">
        <f>(C41-$B$34)/$B$33</f>
        <v>0.6516636752726761</v>
      </c>
    </row>
    <row r="42" spans="1:4" x14ac:dyDescent="0.2">
      <c r="A42" s="85" t="s">
        <v>130</v>
      </c>
      <c r="B42">
        <v>6.0000000000000001E-3</v>
      </c>
      <c r="C42" s="85">
        <f t="shared" ref="C42:C52" si="0">B42-$B$38</f>
        <v>3.0000000000000001E-3</v>
      </c>
      <c r="D42" s="35">
        <f t="shared" ref="D42:D52" si="1">(C42-$B$34)/$B$33</f>
        <v>1.4278613834046656</v>
      </c>
    </row>
    <row r="43" spans="1:4" x14ac:dyDescent="0.2">
      <c r="A43" s="85" t="s">
        <v>131</v>
      </c>
      <c r="B43">
        <v>7.3999999999999996E-2</v>
      </c>
      <c r="C43" s="85">
        <f t="shared" si="0"/>
        <v>7.0999999999999994E-2</v>
      </c>
      <c r="D43" s="35">
        <f t="shared" si="1"/>
        <v>19.021676101063093</v>
      </c>
    </row>
    <row r="44" spans="1:4" x14ac:dyDescent="0.2">
      <c r="A44" s="85" t="s">
        <v>132</v>
      </c>
      <c r="B44">
        <v>2.1000000000000001E-2</v>
      </c>
      <c r="C44" s="85">
        <f t="shared" si="0"/>
        <v>1.8000000000000002E-2</v>
      </c>
      <c r="D44" s="35">
        <f t="shared" si="1"/>
        <v>5.3088499240646136</v>
      </c>
    </row>
    <row r="45" spans="1:4" x14ac:dyDescent="0.2">
      <c r="A45" s="85" t="s">
        <v>133</v>
      </c>
      <c r="B45">
        <v>6.0000000000000001E-3</v>
      </c>
      <c r="C45" s="85">
        <f t="shared" si="0"/>
        <v>3.0000000000000001E-3</v>
      </c>
      <c r="D45" s="35">
        <f t="shared" si="1"/>
        <v>1.4278613834046656</v>
      </c>
    </row>
    <row r="46" spans="1:4" x14ac:dyDescent="0.2">
      <c r="A46" s="85" t="s">
        <v>134</v>
      </c>
      <c r="B46">
        <v>2.8000000000000001E-2</v>
      </c>
      <c r="C46" s="85">
        <f t="shared" si="0"/>
        <v>2.5000000000000001E-2</v>
      </c>
      <c r="D46" s="35">
        <f t="shared" si="1"/>
        <v>7.1199779097059226</v>
      </c>
    </row>
    <row r="47" spans="1:4" x14ac:dyDescent="0.2">
      <c r="A47" s="85" t="s">
        <v>135</v>
      </c>
      <c r="B47">
        <v>3.0000000000000001E-3</v>
      </c>
      <c r="C47" s="85">
        <f t="shared" si="0"/>
        <v>0</v>
      </c>
      <c r="D47" s="35">
        <f t="shared" si="1"/>
        <v>0.6516636752726761</v>
      </c>
    </row>
    <row r="48" spans="1:4" x14ac:dyDescent="0.2">
      <c r="A48" s="85" t="s">
        <v>136</v>
      </c>
      <c r="B48">
        <v>0.11899999999999999</v>
      </c>
      <c r="C48" s="85">
        <f t="shared" si="0"/>
        <v>0.11599999999999999</v>
      </c>
      <c r="D48" s="35">
        <f t="shared" si="1"/>
        <v>30.664641723042937</v>
      </c>
    </row>
    <row r="49" spans="1:4" x14ac:dyDescent="0.2">
      <c r="A49" s="85" t="s">
        <v>137</v>
      </c>
      <c r="B49">
        <v>0</v>
      </c>
      <c r="C49" s="85">
        <f t="shared" si="0"/>
        <v>-3.0000000000000001E-3</v>
      </c>
      <c r="D49" s="35">
        <f t="shared" si="1"/>
        <v>-0.12453403285931343</v>
      </c>
    </row>
    <row r="50" spans="1:4" x14ac:dyDescent="0.2">
      <c r="A50" s="85" t="s">
        <v>138</v>
      </c>
      <c r="B50">
        <v>1E-3</v>
      </c>
      <c r="C50" s="85">
        <f t="shared" si="0"/>
        <v>-2E-3</v>
      </c>
      <c r="D50" s="35">
        <f t="shared" si="1"/>
        <v>0.13419853651801641</v>
      </c>
    </row>
    <row r="51" spans="1:4" x14ac:dyDescent="0.2">
      <c r="A51" s="85" t="s">
        <v>139</v>
      </c>
      <c r="B51">
        <v>1E-3</v>
      </c>
      <c r="C51" s="85">
        <f t="shared" si="0"/>
        <v>-2E-3</v>
      </c>
      <c r="D51" s="35">
        <f t="shared" si="1"/>
        <v>0.13419853651801641</v>
      </c>
    </row>
    <row r="52" spans="1:4" x14ac:dyDescent="0.2">
      <c r="A52" t="s">
        <v>195</v>
      </c>
      <c r="B52">
        <v>1.0999999999999999E-2</v>
      </c>
      <c r="C52" s="85">
        <f t="shared" si="0"/>
        <v>8.0000000000000002E-3</v>
      </c>
      <c r="D52" s="35">
        <f t="shared" si="1"/>
        <v>2.721524230291315</v>
      </c>
    </row>
    <row r="55" spans="1:4" x14ac:dyDescent="0.2">
      <c r="A55" t="s">
        <v>196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I19" sqref="I19:I29"/>
    </sheetView>
  </sheetViews>
  <sheetFormatPr defaultColWidth="10.85546875" defaultRowHeight="15.75" x14ac:dyDescent="0.25"/>
  <cols>
    <col min="1" max="12" width="10.85546875" style="141"/>
    <col min="13" max="13" width="15.85546875" style="141" customWidth="1"/>
    <col min="14" max="16384" width="10.85546875" style="141"/>
  </cols>
  <sheetData>
    <row r="1" spans="1:13" x14ac:dyDescent="0.25">
      <c r="A1" s="141" t="s">
        <v>291</v>
      </c>
    </row>
    <row r="2" spans="1:13" x14ac:dyDescent="0.25">
      <c r="A2" s="141" t="s">
        <v>292</v>
      </c>
      <c r="B2" s="141" t="s">
        <v>293</v>
      </c>
    </row>
    <row r="3" spans="1:13" x14ac:dyDescent="0.25">
      <c r="A3" s="141" t="s">
        <v>294</v>
      </c>
      <c r="B3" s="141">
        <v>2</v>
      </c>
    </row>
    <row r="4" spans="1:13" x14ac:dyDescent="0.25">
      <c r="A4" s="141" t="s">
        <v>295</v>
      </c>
    </row>
    <row r="5" spans="1:13" x14ac:dyDescent="0.25">
      <c r="A5" s="141" t="s">
        <v>296</v>
      </c>
      <c r="B5" s="144">
        <v>41568.707395833335</v>
      </c>
    </row>
    <row r="6" spans="1:13" x14ac:dyDescent="0.25">
      <c r="A6" s="141" t="s">
        <v>297</v>
      </c>
    </row>
    <row r="8" spans="1:13" x14ac:dyDescent="0.25">
      <c r="A8" s="141" t="s">
        <v>298</v>
      </c>
    </row>
    <row r="9" spans="1:13" x14ac:dyDescent="0.25">
      <c r="A9" s="141" t="s">
        <v>299</v>
      </c>
      <c r="B9" s="141" t="s">
        <v>300</v>
      </c>
    </row>
    <row r="10" spans="1:13" x14ac:dyDescent="0.25">
      <c r="A10" s="141" t="s">
        <v>301</v>
      </c>
      <c r="B10" s="141" t="s">
        <v>302</v>
      </c>
    </row>
    <row r="11" spans="1:13" x14ac:dyDescent="0.25">
      <c r="A11" s="141" t="s">
        <v>303</v>
      </c>
      <c r="B11" s="141" t="s">
        <v>304</v>
      </c>
    </row>
    <row r="13" spans="1:13" x14ac:dyDescent="0.25">
      <c r="A13" s="141" t="s">
        <v>305</v>
      </c>
    </row>
    <row r="14" spans="1:13" x14ac:dyDescent="0.25">
      <c r="A14" s="141" t="s">
        <v>66</v>
      </c>
      <c r="B14" s="141" t="s">
        <v>306</v>
      </c>
      <c r="C14" s="141" t="s">
        <v>307</v>
      </c>
      <c r="D14" s="141" t="s">
        <v>308</v>
      </c>
      <c r="E14" s="141" t="s">
        <v>309</v>
      </c>
      <c r="F14" s="141" t="s">
        <v>310</v>
      </c>
      <c r="G14" s="141" t="s">
        <v>20</v>
      </c>
      <c r="H14" s="141" t="s">
        <v>311</v>
      </c>
      <c r="I14" s="141" t="s">
        <v>312</v>
      </c>
      <c r="J14" s="141" t="s">
        <v>313</v>
      </c>
      <c r="K14" s="141" t="s">
        <v>314</v>
      </c>
      <c r="L14" s="141" t="s">
        <v>315</v>
      </c>
      <c r="M14" s="141" t="s">
        <v>316</v>
      </c>
    </row>
    <row r="15" spans="1:13" x14ac:dyDescent="0.25">
      <c r="A15" s="141" t="s">
        <v>317</v>
      </c>
      <c r="B15" s="141" t="s">
        <v>312</v>
      </c>
      <c r="C15" s="141" t="s">
        <v>318</v>
      </c>
      <c r="I15" s="141">
        <v>0</v>
      </c>
      <c r="K15" s="141" t="s">
        <v>152</v>
      </c>
      <c r="L15" s="141">
        <v>1</v>
      </c>
      <c r="M15" s="144">
        <v>41568.717881944445</v>
      </c>
    </row>
    <row r="16" spans="1:13" x14ac:dyDescent="0.25">
      <c r="A16" s="141" t="s">
        <v>317</v>
      </c>
      <c r="B16" s="141" t="s">
        <v>312</v>
      </c>
      <c r="C16" s="141" t="s">
        <v>318</v>
      </c>
      <c r="I16" s="141">
        <v>0</v>
      </c>
      <c r="K16" s="141" t="s">
        <v>152</v>
      </c>
      <c r="L16" s="141">
        <v>2</v>
      </c>
      <c r="M16" s="144">
        <v>41568.727777777778</v>
      </c>
    </row>
    <row r="17" spans="1:13" x14ac:dyDescent="0.25">
      <c r="A17" s="141" t="s">
        <v>317</v>
      </c>
      <c r="B17" s="141" t="s">
        <v>312</v>
      </c>
      <c r="C17" s="141" t="s">
        <v>318</v>
      </c>
      <c r="I17" s="141">
        <v>0</v>
      </c>
      <c r="K17" s="141" t="s">
        <v>152</v>
      </c>
      <c r="L17" s="141">
        <v>3</v>
      </c>
      <c r="M17" s="144">
        <v>41568.737673611111</v>
      </c>
    </row>
    <row r="18" spans="1:13" x14ac:dyDescent="0.25">
      <c r="A18" s="141" t="s">
        <v>319</v>
      </c>
      <c r="B18" s="141" t="s">
        <v>312</v>
      </c>
      <c r="C18" s="141" t="s">
        <v>319</v>
      </c>
      <c r="I18" s="141">
        <v>28</v>
      </c>
      <c r="K18" s="141" t="s">
        <v>152</v>
      </c>
      <c r="L18" s="141" t="s">
        <v>320</v>
      </c>
      <c r="M18" s="144">
        <v>41568.787291666667</v>
      </c>
    </row>
    <row r="19" spans="1:13" x14ac:dyDescent="0.25">
      <c r="A19" s="141" t="s">
        <v>317</v>
      </c>
      <c r="B19" s="141" t="s">
        <v>312</v>
      </c>
      <c r="C19" s="141" t="s">
        <v>321</v>
      </c>
      <c r="D19" s="141">
        <v>1</v>
      </c>
      <c r="I19" s="141">
        <v>6.6559999999999997</v>
      </c>
      <c r="K19" s="141" t="s">
        <v>152</v>
      </c>
      <c r="L19" s="141">
        <v>9</v>
      </c>
      <c r="M19" s="144">
        <v>41568.797581018516</v>
      </c>
    </row>
    <row r="20" spans="1:13" x14ac:dyDescent="0.25">
      <c r="A20" s="141" t="s">
        <v>317</v>
      </c>
      <c r="B20" s="141" t="s">
        <v>312</v>
      </c>
      <c r="C20" s="141" t="s">
        <v>322</v>
      </c>
      <c r="D20" s="141">
        <v>2</v>
      </c>
      <c r="I20" s="141">
        <v>6.5380000000000003</v>
      </c>
      <c r="K20" s="141" t="s">
        <v>152</v>
      </c>
      <c r="L20" s="141">
        <v>10</v>
      </c>
      <c r="M20" s="144">
        <v>41568.807870370372</v>
      </c>
    </row>
    <row r="21" spans="1:13" x14ac:dyDescent="0.25">
      <c r="A21" s="141" t="s">
        <v>317</v>
      </c>
      <c r="B21" s="141" t="s">
        <v>312</v>
      </c>
      <c r="C21" s="141" t="s">
        <v>323</v>
      </c>
      <c r="D21" s="141">
        <v>3</v>
      </c>
      <c r="I21" s="141">
        <v>4.6470000000000002</v>
      </c>
      <c r="K21" s="141" t="s">
        <v>152</v>
      </c>
      <c r="L21" s="141">
        <v>11</v>
      </c>
      <c r="M21" s="144">
        <v>41568.818159722221</v>
      </c>
    </row>
    <row r="22" spans="1:13" x14ac:dyDescent="0.25">
      <c r="A22" s="141" t="s">
        <v>317</v>
      </c>
      <c r="B22" s="141" t="s">
        <v>312</v>
      </c>
      <c r="C22" s="141" t="s">
        <v>324</v>
      </c>
      <c r="D22" s="141">
        <v>4</v>
      </c>
      <c r="I22" s="141">
        <v>6.9249999999999998</v>
      </c>
      <c r="K22" s="141" t="s">
        <v>152</v>
      </c>
      <c r="L22" s="141">
        <v>12</v>
      </c>
      <c r="M22" s="144">
        <v>41568.828449074077</v>
      </c>
    </row>
    <row r="23" spans="1:13" x14ac:dyDescent="0.25">
      <c r="A23" s="141" t="s">
        <v>317</v>
      </c>
      <c r="B23" s="141" t="s">
        <v>312</v>
      </c>
      <c r="C23" s="141" t="s">
        <v>325</v>
      </c>
      <c r="D23" s="141">
        <v>5</v>
      </c>
      <c r="I23" s="141">
        <v>6.9669999999999996</v>
      </c>
      <c r="K23" s="141" t="s">
        <v>152</v>
      </c>
      <c r="L23" s="141">
        <v>13</v>
      </c>
      <c r="M23" s="144">
        <v>41568.838738425926</v>
      </c>
    </row>
    <row r="24" spans="1:13" x14ac:dyDescent="0.25">
      <c r="A24" s="141" t="s">
        <v>317</v>
      </c>
      <c r="B24" s="141" t="s">
        <v>312</v>
      </c>
      <c r="C24" s="141" t="s">
        <v>326</v>
      </c>
      <c r="D24" s="141">
        <v>6</v>
      </c>
      <c r="I24" s="141">
        <v>5.3949999999999996</v>
      </c>
      <c r="K24" s="141" t="s">
        <v>152</v>
      </c>
      <c r="L24" s="141">
        <v>14</v>
      </c>
      <c r="M24" s="144">
        <v>41568.849027777775</v>
      </c>
    </row>
    <row r="25" spans="1:13" x14ac:dyDescent="0.25">
      <c r="A25" s="141" t="s">
        <v>317</v>
      </c>
      <c r="B25" s="141" t="s">
        <v>312</v>
      </c>
      <c r="C25" s="141" t="s">
        <v>327</v>
      </c>
      <c r="D25" s="141">
        <v>7</v>
      </c>
      <c r="I25" s="141">
        <v>7.5890000000000004</v>
      </c>
      <c r="K25" s="141" t="s">
        <v>152</v>
      </c>
      <c r="L25" s="141">
        <v>15</v>
      </c>
      <c r="M25" s="144">
        <v>41568.859317129631</v>
      </c>
    </row>
    <row r="26" spans="1:13" x14ac:dyDescent="0.25">
      <c r="A26" s="141" t="s">
        <v>317</v>
      </c>
      <c r="B26" s="141" t="s">
        <v>312</v>
      </c>
      <c r="C26" s="141" t="s">
        <v>328</v>
      </c>
      <c r="D26" s="141">
        <v>8</v>
      </c>
      <c r="I26" s="141">
        <v>5.282</v>
      </c>
      <c r="K26" s="141" t="s">
        <v>152</v>
      </c>
      <c r="L26" s="141">
        <v>16</v>
      </c>
      <c r="M26" s="144">
        <v>41568.869606481479</v>
      </c>
    </row>
    <row r="27" spans="1:13" x14ac:dyDescent="0.25">
      <c r="A27" s="141" t="s">
        <v>317</v>
      </c>
      <c r="B27" s="141" t="s">
        <v>312</v>
      </c>
      <c r="C27" s="141" t="s">
        <v>329</v>
      </c>
      <c r="D27" s="141">
        <v>9</v>
      </c>
      <c r="I27" s="141">
        <v>1.9119999999999999</v>
      </c>
      <c r="K27" s="141" t="s">
        <v>152</v>
      </c>
      <c r="L27" s="141">
        <v>17</v>
      </c>
      <c r="M27" s="144">
        <v>41568.879895833335</v>
      </c>
    </row>
    <row r="28" spans="1:13" x14ac:dyDescent="0.25">
      <c r="A28" s="141" t="s">
        <v>317</v>
      </c>
      <c r="B28" s="141" t="s">
        <v>312</v>
      </c>
      <c r="C28" s="141" t="s">
        <v>330</v>
      </c>
      <c r="D28" s="141">
        <v>10</v>
      </c>
      <c r="I28" s="141">
        <v>4.4489999999999998</v>
      </c>
      <c r="K28" s="141" t="s">
        <v>152</v>
      </c>
      <c r="L28" s="141">
        <v>18</v>
      </c>
      <c r="M28" s="144">
        <v>41568.890185185184</v>
      </c>
    </row>
    <row r="29" spans="1:13" x14ac:dyDescent="0.25">
      <c r="A29" s="141" t="s">
        <v>317</v>
      </c>
      <c r="B29" s="141" t="s">
        <v>312</v>
      </c>
      <c r="C29" s="141" t="s">
        <v>331</v>
      </c>
      <c r="D29" s="141">
        <v>11</v>
      </c>
      <c r="I29" s="141">
        <v>7.7190000000000003</v>
      </c>
      <c r="K29" s="141" t="s">
        <v>152</v>
      </c>
      <c r="L29" s="141">
        <v>19</v>
      </c>
      <c r="M29" s="144">
        <v>41568.90047453704</v>
      </c>
    </row>
    <row r="30" spans="1:13" x14ac:dyDescent="0.25">
      <c r="A30" s="141" t="s">
        <v>317</v>
      </c>
      <c r="B30" s="141" t="s">
        <v>312</v>
      </c>
      <c r="C30" s="141" t="s">
        <v>332</v>
      </c>
      <c r="D30" s="141">
        <v>12</v>
      </c>
      <c r="I30" s="141">
        <v>0.17929999999999999</v>
      </c>
      <c r="K30" s="141" t="s">
        <v>152</v>
      </c>
      <c r="L30" s="141">
        <v>20</v>
      </c>
      <c r="M30" s="144">
        <v>41568.910763888889</v>
      </c>
    </row>
    <row r="31" spans="1:13" x14ac:dyDescent="0.25">
      <c r="A31" s="141" t="s">
        <v>317</v>
      </c>
      <c r="B31" s="141" t="s">
        <v>312</v>
      </c>
      <c r="C31" s="141" t="s">
        <v>333</v>
      </c>
      <c r="D31" s="141">
        <v>13</v>
      </c>
      <c r="I31" s="141">
        <v>13.44</v>
      </c>
      <c r="K31" s="141" t="s">
        <v>152</v>
      </c>
      <c r="L31" s="141">
        <v>21</v>
      </c>
      <c r="M31" s="144">
        <v>41568.921053240738</v>
      </c>
    </row>
    <row r="32" spans="1:13" x14ac:dyDescent="0.25">
      <c r="A32" s="141" t="s">
        <v>317</v>
      </c>
      <c r="B32" s="141" t="s">
        <v>312</v>
      </c>
      <c r="C32" s="141" t="s">
        <v>334</v>
      </c>
      <c r="D32" s="141">
        <v>14</v>
      </c>
      <c r="I32" s="141">
        <v>7.8209999999999997</v>
      </c>
      <c r="K32" s="141" t="s">
        <v>152</v>
      </c>
      <c r="L32" s="141">
        <v>22</v>
      </c>
      <c r="M32" s="144">
        <v>41568.931342592594</v>
      </c>
    </row>
    <row r="33" spans="1:13" x14ac:dyDescent="0.25">
      <c r="A33" s="141" t="s">
        <v>317</v>
      </c>
      <c r="B33" s="141" t="s">
        <v>312</v>
      </c>
      <c r="C33" s="141" t="s">
        <v>335</v>
      </c>
      <c r="D33" s="141">
        <v>15</v>
      </c>
      <c r="I33" s="141">
        <v>8.4619999999999997</v>
      </c>
      <c r="K33" s="141" t="s">
        <v>152</v>
      </c>
      <c r="L33" s="141">
        <v>23</v>
      </c>
      <c r="M33" s="144">
        <v>41568.941631944443</v>
      </c>
    </row>
    <row r="34" spans="1:13" x14ac:dyDescent="0.25">
      <c r="A34" s="141" t="s">
        <v>317</v>
      </c>
      <c r="B34" s="141" t="s">
        <v>312</v>
      </c>
      <c r="C34" s="141" t="s">
        <v>336</v>
      </c>
      <c r="D34" s="141">
        <v>16</v>
      </c>
      <c r="I34" s="141">
        <v>7.79</v>
      </c>
      <c r="K34" s="141" t="s">
        <v>152</v>
      </c>
      <c r="L34" s="141">
        <v>24</v>
      </c>
      <c r="M34" s="144">
        <v>41568.951921296299</v>
      </c>
    </row>
    <row r="35" spans="1:13" x14ac:dyDescent="0.25">
      <c r="A35" s="141" t="s">
        <v>317</v>
      </c>
      <c r="B35" s="141" t="s">
        <v>312</v>
      </c>
      <c r="C35" s="141" t="s">
        <v>337</v>
      </c>
      <c r="D35" s="141">
        <v>17</v>
      </c>
      <c r="I35" s="141">
        <v>7.7210000000000001</v>
      </c>
      <c r="K35" s="141" t="s">
        <v>152</v>
      </c>
      <c r="L35" s="141">
        <v>25</v>
      </c>
      <c r="M35" s="144">
        <v>41568.962210648147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F4" sqref="F4:F14"/>
    </sheetView>
  </sheetViews>
  <sheetFormatPr defaultColWidth="11.42578125" defaultRowHeight="12.75" x14ac:dyDescent="0.2"/>
  <cols>
    <col min="2" max="2" width="12.7109375" bestFit="1" customWidth="1"/>
    <col min="3" max="3" width="12.42578125" bestFit="1" customWidth="1"/>
    <col min="4" max="4" width="14.140625" bestFit="1" customWidth="1"/>
    <col min="5" max="5" width="19.85546875" customWidth="1"/>
    <col min="6" max="6" width="15.28515625" customWidth="1"/>
  </cols>
  <sheetData>
    <row r="1" spans="1:6" ht="33" x14ac:dyDescent="0.45">
      <c r="A1" s="143" t="s">
        <v>70</v>
      </c>
    </row>
    <row r="3" spans="1:6" x14ac:dyDescent="0.2">
      <c r="A3" t="s">
        <v>71</v>
      </c>
      <c r="B3" t="s">
        <v>286</v>
      </c>
      <c r="C3" t="s">
        <v>287</v>
      </c>
      <c r="D3" t="s">
        <v>288</v>
      </c>
      <c r="E3" t="s">
        <v>289</v>
      </c>
      <c r="F3" s="85" t="s">
        <v>290</v>
      </c>
    </row>
    <row r="4" spans="1:6" x14ac:dyDescent="0.2">
      <c r="A4">
        <v>1</v>
      </c>
      <c r="B4">
        <v>48.96</v>
      </c>
      <c r="C4">
        <v>0.58599999999999997</v>
      </c>
      <c r="D4">
        <v>2.0199999999999999E-2</v>
      </c>
      <c r="E4">
        <f>(D4*C4)/B4</f>
        <v>2.4177287581699343E-4</v>
      </c>
      <c r="F4">
        <f>E4*1000</f>
        <v>0.24177287581699344</v>
      </c>
    </row>
    <row r="5" spans="1:6" x14ac:dyDescent="0.2">
      <c r="A5">
        <v>2</v>
      </c>
      <c r="B5">
        <v>32.119999999999997</v>
      </c>
      <c r="C5">
        <v>0.55100000000000005</v>
      </c>
      <c r="D5" s="85">
        <v>2.0199999999999999E-2</v>
      </c>
      <c r="E5" s="85">
        <f t="shared" ref="E5:E14" si="0">(D5*C5)/B5</f>
        <v>3.4651930261519304E-4</v>
      </c>
      <c r="F5" s="85">
        <f t="shared" ref="F5:F14" si="1">E5*1000</f>
        <v>0.34651930261519304</v>
      </c>
    </row>
    <row r="6" spans="1:6" x14ac:dyDescent="0.2">
      <c r="A6" s="85">
        <v>3</v>
      </c>
      <c r="B6">
        <v>50.22</v>
      </c>
      <c r="C6">
        <v>0.35399999999999998</v>
      </c>
      <c r="D6" s="85">
        <v>2.0199999999999999E-2</v>
      </c>
      <c r="E6" s="85">
        <f t="shared" si="0"/>
        <v>1.42389486260454E-4</v>
      </c>
      <c r="F6" s="85">
        <f t="shared" si="1"/>
        <v>0.142389486260454</v>
      </c>
    </row>
    <row r="7" spans="1:6" x14ac:dyDescent="0.2">
      <c r="A7" s="85">
        <v>4</v>
      </c>
      <c r="B7">
        <v>50.29</v>
      </c>
      <c r="C7">
        <v>2.282</v>
      </c>
      <c r="D7" s="85">
        <v>2.0199999999999999E-2</v>
      </c>
      <c r="E7" s="85">
        <f t="shared" si="0"/>
        <v>9.1661165241598724E-4</v>
      </c>
      <c r="F7" s="85">
        <f t="shared" si="1"/>
        <v>0.91661165241598719</v>
      </c>
    </row>
    <row r="8" spans="1:6" x14ac:dyDescent="0.2">
      <c r="A8" s="85">
        <v>5</v>
      </c>
      <c r="B8">
        <v>53.12</v>
      </c>
      <c r="C8">
        <v>1.952</v>
      </c>
      <c r="D8" s="85">
        <v>2.0199999999999999E-2</v>
      </c>
      <c r="E8" s="85">
        <f t="shared" si="0"/>
        <v>7.4228915662650596E-4</v>
      </c>
      <c r="F8" s="85">
        <f t="shared" si="1"/>
        <v>0.74228915662650596</v>
      </c>
    </row>
    <row r="9" spans="1:6" x14ac:dyDescent="0.2">
      <c r="A9" s="85">
        <v>6</v>
      </c>
      <c r="B9">
        <v>50.19</v>
      </c>
      <c r="C9">
        <v>2.669</v>
      </c>
      <c r="D9" s="85">
        <v>2.0199999999999999E-2</v>
      </c>
      <c r="E9" s="85">
        <f t="shared" si="0"/>
        <v>1.0741940625622634E-3</v>
      </c>
      <c r="F9" s="85">
        <f t="shared" si="1"/>
        <v>1.0741940625622635</v>
      </c>
    </row>
    <row r="10" spans="1:6" x14ac:dyDescent="0.2">
      <c r="A10" s="85">
        <v>7</v>
      </c>
      <c r="B10">
        <v>49.73</v>
      </c>
      <c r="C10">
        <v>0.54600000000000004</v>
      </c>
      <c r="D10" s="85">
        <v>2.0199999999999999E-2</v>
      </c>
      <c r="E10" s="85">
        <f t="shared" si="0"/>
        <v>2.2178162075206116E-4</v>
      </c>
      <c r="F10" s="85">
        <f t="shared" si="1"/>
        <v>0.22178162075206115</v>
      </c>
    </row>
    <row r="11" spans="1:6" x14ac:dyDescent="0.2">
      <c r="A11" s="85">
        <v>8</v>
      </c>
      <c r="B11">
        <v>50.14</v>
      </c>
      <c r="C11">
        <v>3.4180000000000001</v>
      </c>
      <c r="D11" s="85">
        <v>2.0199999999999999E-2</v>
      </c>
      <c r="E11" s="85">
        <f t="shared" si="0"/>
        <v>1.377016354208217E-3</v>
      </c>
      <c r="F11" s="85">
        <f t="shared" si="1"/>
        <v>1.377016354208217</v>
      </c>
    </row>
    <row r="12" spans="1:6" x14ac:dyDescent="0.2">
      <c r="A12" s="85">
        <v>9</v>
      </c>
      <c r="B12">
        <v>50.33</v>
      </c>
      <c r="C12">
        <v>0.56899999999999995</v>
      </c>
      <c r="D12" s="85">
        <v>2.0199999999999999E-2</v>
      </c>
      <c r="E12" s="85">
        <f t="shared" si="0"/>
        <v>2.2836876614345318E-4</v>
      </c>
      <c r="F12" s="85">
        <f t="shared" si="1"/>
        <v>0.22836876614345319</v>
      </c>
    </row>
    <row r="13" spans="1:6" x14ac:dyDescent="0.2">
      <c r="A13" s="85">
        <v>10</v>
      </c>
      <c r="B13">
        <v>50.28</v>
      </c>
      <c r="C13">
        <v>0.27800000000000002</v>
      </c>
      <c r="D13" s="85">
        <v>2.0199999999999999E-2</v>
      </c>
      <c r="E13" s="85">
        <f t="shared" si="0"/>
        <v>1.116865552903739E-4</v>
      </c>
      <c r="F13" s="85">
        <f t="shared" si="1"/>
        <v>0.1116865552903739</v>
      </c>
    </row>
    <row r="14" spans="1:6" x14ac:dyDescent="0.2">
      <c r="A14" s="85">
        <v>11</v>
      </c>
      <c r="B14">
        <v>50.1</v>
      </c>
      <c r="C14">
        <v>3.8010000000000002</v>
      </c>
      <c r="D14" s="85">
        <v>2.0199999999999999E-2</v>
      </c>
      <c r="E14" s="85">
        <f t="shared" si="0"/>
        <v>1.5325389221556888E-3</v>
      </c>
      <c r="F14" s="85">
        <f t="shared" si="1"/>
        <v>1.5325389221556889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5"/>
  <sheetViews>
    <sheetView workbookViewId="0">
      <selection activeCell="F55" sqref="F55"/>
    </sheetView>
  </sheetViews>
  <sheetFormatPr defaultColWidth="11.42578125" defaultRowHeight="12.75" x14ac:dyDescent="0.2"/>
  <cols>
    <col min="1" max="1" width="31" bestFit="1" customWidth="1"/>
    <col min="2" max="2" width="13.42578125" bestFit="1" customWidth="1"/>
    <col min="3" max="3" width="10" bestFit="1" customWidth="1"/>
    <col min="4" max="4" width="12.42578125" bestFit="1" customWidth="1"/>
    <col min="5" max="5" width="6.28515625" bestFit="1" customWidth="1"/>
    <col min="6" max="6" width="8.140625" bestFit="1" customWidth="1"/>
    <col min="7" max="7" width="7.140625" bestFit="1" customWidth="1"/>
    <col min="8" max="8" width="4.42578125" bestFit="1" customWidth="1"/>
    <col min="9" max="9" width="7.140625" bestFit="1" customWidth="1"/>
    <col min="10" max="10" width="11" bestFit="1" customWidth="1"/>
    <col min="11" max="11" width="8" bestFit="1" customWidth="1"/>
    <col min="12" max="12" width="16.140625" bestFit="1" customWidth="1"/>
    <col min="13" max="13" width="18.7109375" customWidth="1"/>
  </cols>
  <sheetData>
    <row r="1" spans="1:13" x14ac:dyDescent="0.2">
      <c r="A1" t="s">
        <v>338</v>
      </c>
    </row>
    <row r="2" spans="1:13" x14ac:dyDescent="0.2">
      <c r="A2" t="s">
        <v>339</v>
      </c>
      <c r="B2" t="s">
        <v>340</v>
      </c>
    </row>
    <row r="3" spans="1:13" x14ac:dyDescent="0.2">
      <c r="A3" t="s">
        <v>341</v>
      </c>
      <c r="B3" t="s">
        <v>342</v>
      </c>
      <c r="C3" t="s">
        <v>343</v>
      </c>
      <c r="D3" t="s">
        <v>344</v>
      </c>
    </row>
    <row r="4" spans="1:13" x14ac:dyDescent="0.2">
      <c r="A4" t="s">
        <v>345</v>
      </c>
    </row>
    <row r="5" spans="1:13" x14ac:dyDescent="0.2">
      <c r="A5" t="s">
        <v>346</v>
      </c>
    </row>
    <row r="6" spans="1:13" x14ac:dyDescent="0.2">
      <c r="A6" t="s">
        <v>347</v>
      </c>
      <c r="B6" t="s">
        <v>348</v>
      </c>
      <c r="C6" t="s">
        <v>349</v>
      </c>
      <c r="D6" t="s">
        <v>350</v>
      </c>
      <c r="E6" t="s">
        <v>351</v>
      </c>
      <c r="F6" t="s">
        <v>352</v>
      </c>
      <c r="G6" t="s">
        <v>353</v>
      </c>
      <c r="H6" t="s">
        <v>314</v>
      </c>
      <c r="I6" t="s">
        <v>351</v>
      </c>
      <c r="J6" t="s">
        <v>354</v>
      </c>
      <c r="K6" t="s">
        <v>355</v>
      </c>
      <c r="L6" t="s">
        <v>423</v>
      </c>
      <c r="M6" t="s">
        <v>424</v>
      </c>
    </row>
    <row r="7" spans="1:13" x14ac:dyDescent="0.2">
      <c r="A7" t="s">
        <v>356</v>
      </c>
      <c r="B7" t="s">
        <v>2</v>
      </c>
      <c r="C7">
        <v>57</v>
      </c>
      <c r="D7">
        <v>45113.5</v>
      </c>
      <c r="E7">
        <v>1.2</v>
      </c>
      <c r="F7">
        <v>0</v>
      </c>
      <c r="H7" t="s">
        <v>357</v>
      </c>
      <c r="K7" t="s">
        <v>319</v>
      </c>
    </row>
    <row r="8" spans="1:13" x14ac:dyDescent="0.2">
      <c r="A8" t="s">
        <v>356</v>
      </c>
      <c r="B8" t="s">
        <v>1</v>
      </c>
      <c r="C8">
        <v>27</v>
      </c>
      <c r="D8">
        <v>7343.6</v>
      </c>
      <c r="E8">
        <v>2.1</v>
      </c>
      <c r="F8">
        <v>0</v>
      </c>
      <c r="H8" t="s">
        <v>357</v>
      </c>
      <c r="K8" t="s">
        <v>319</v>
      </c>
    </row>
    <row r="9" spans="1:13" x14ac:dyDescent="0.2">
      <c r="A9" t="s">
        <v>356</v>
      </c>
      <c r="B9" t="s">
        <v>227</v>
      </c>
      <c r="C9">
        <v>53</v>
      </c>
      <c r="D9">
        <v>245</v>
      </c>
      <c r="E9">
        <v>6.5</v>
      </c>
      <c r="F9">
        <v>0</v>
      </c>
      <c r="H9" t="s">
        <v>357</v>
      </c>
      <c r="K9" t="s">
        <v>319</v>
      </c>
    </row>
    <row r="10" spans="1:13" x14ac:dyDescent="0.2">
      <c r="A10" t="s">
        <v>356</v>
      </c>
      <c r="B10" t="s">
        <v>228</v>
      </c>
      <c r="C10">
        <v>55</v>
      </c>
      <c r="D10">
        <v>1061.4000000000001</v>
      </c>
      <c r="E10">
        <v>1.8</v>
      </c>
      <c r="F10">
        <v>0</v>
      </c>
      <c r="H10" t="s">
        <v>357</v>
      </c>
      <c r="K10" t="s">
        <v>319</v>
      </c>
    </row>
    <row r="11" spans="1:13" x14ac:dyDescent="0.2">
      <c r="A11" t="s">
        <v>356</v>
      </c>
      <c r="B11" t="s">
        <v>229</v>
      </c>
      <c r="C11">
        <v>63</v>
      </c>
      <c r="D11">
        <v>350.3</v>
      </c>
      <c r="E11">
        <v>5.4</v>
      </c>
      <c r="F11">
        <v>0</v>
      </c>
      <c r="H11" t="s">
        <v>357</v>
      </c>
      <c r="K11" t="s">
        <v>319</v>
      </c>
    </row>
    <row r="12" spans="1:13" x14ac:dyDescent="0.2">
      <c r="A12" t="s">
        <v>356</v>
      </c>
      <c r="B12" t="s">
        <v>230</v>
      </c>
      <c r="C12">
        <v>66</v>
      </c>
      <c r="D12">
        <v>215</v>
      </c>
      <c r="E12">
        <v>5.6</v>
      </c>
      <c r="F12">
        <v>0</v>
      </c>
      <c r="H12" t="s">
        <v>357</v>
      </c>
      <c r="K12" t="s">
        <v>319</v>
      </c>
    </row>
    <row r="13" spans="1:13" x14ac:dyDescent="0.2">
      <c r="A13" t="s">
        <v>356</v>
      </c>
      <c r="B13" t="s">
        <v>231</v>
      </c>
      <c r="C13">
        <v>75</v>
      </c>
      <c r="D13">
        <v>16.3</v>
      </c>
      <c r="E13">
        <v>15.4</v>
      </c>
      <c r="F13">
        <v>0</v>
      </c>
      <c r="H13" t="s">
        <v>357</v>
      </c>
      <c r="K13" t="s">
        <v>319</v>
      </c>
    </row>
    <row r="14" spans="1:13" x14ac:dyDescent="0.2">
      <c r="A14" t="s">
        <v>356</v>
      </c>
      <c r="B14" t="s">
        <v>232</v>
      </c>
      <c r="C14">
        <v>111</v>
      </c>
      <c r="D14">
        <v>7.7</v>
      </c>
      <c r="E14">
        <v>49.4</v>
      </c>
      <c r="F14">
        <v>0</v>
      </c>
      <c r="H14" t="s">
        <v>357</v>
      </c>
      <c r="K14" t="s">
        <v>319</v>
      </c>
    </row>
    <row r="15" spans="1:13" x14ac:dyDescent="0.2">
      <c r="A15" t="s">
        <v>356</v>
      </c>
      <c r="B15" t="s">
        <v>233</v>
      </c>
      <c r="C15">
        <v>118</v>
      </c>
      <c r="D15">
        <v>91</v>
      </c>
      <c r="E15">
        <v>13.3</v>
      </c>
      <c r="F15">
        <v>0</v>
      </c>
      <c r="H15" t="s">
        <v>357</v>
      </c>
      <c r="K15" t="s">
        <v>319</v>
      </c>
    </row>
    <row r="16" spans="1:13" x14ac:dyDescent="0.2">
      <c r="A16" t="s">
        <v>356</v>
      </c>
      <c r="B16" t="s">
        <v>234</v>
      </c>
      <c r="C16">
        <v>206</v>
      </c>
      <c r="D16">
        <v>405.3</v>
      </c>
      <c r="E16">
        <v>5.4</v>
      </c>
      <c r="F16">
        <v>0</v>
      </c>
      <c r="H16" t="s">
        <v>357</v>
      </c>
      <c r="K16" t="s">
        <v>319</v>
      </c>
      <c r="L16" s="145">
        <v>0.24099999999999999</v>
      </c>
      <c r="M16">
        <f>F16*L16</f>
        <v>0</v>
      </c>
    </row>
    <row r="17" spans="1:13" x14ac:dyDescent="0.2">
      <c r="A17" t="s">
        <v>356</v>
      </c>
      <c r="B17" t="s">
        <v>234</v>
      </c>
      <c r="C17">
        <v>207</v>
      </c>
      <c r="D17">
        <v>377.3</v>
      </c>
      <c r="E17">
        <v>9.6999999999999993</v>
      </c>
      <c r="F17">
        <v>0</v>
      </c>
      <c r="H17" t="s">
        <v>357</v>
      </c>
      <c r="K17" t="s">
        <v>319</v>
      </c>
      <c r="L17" s="145">
        <v>0.221</v>
      </c>
      <c r="M17" s="85">
        <f t="shared" ref="M17:M18" si="0">F17*L17</f>
        <v>0</v>
      </c>
    </row>
    <row r="18" spans="1:13" x14ac:dyDescent="0.2">
      <c r="A18" t="s">
        <v>356</v>
      </c>
      <c r="B18" t="s">
        <v>234</v>
      </c>
      <c r="C18">
        <v>208</v>
      </c>
      <c r="D18">
        <v>905.4</v>
      </c>
      <c r="E18">
        <v>7.8</v>
      </c>
      <c r="F18">
        <v>0</v>
      </c>
      <c r="H18" t="s">
        <v>357</v>
      </c>
      <c r="K18" t="s">
        <v>319</v>
      </c>
      <c r="L18" s="145">
        <v>0.52400000000000002</v>
      </c>
      <c r="M18" s="85">
        <f t="shared" si="0"/>
        <v>0</v>
      </c>
    </row>
    <row r="19" spans="1:13" x14ac:dyDescent="0.2">
      <c r="A19" t="s">
        <v>338</v>
      </c>
    </row>
    <row r="20" spans="1:13" x14ac:dyDescent="0.2">
      <c r="A20" t="s">
        <v>339</v>
      </c>
      <c r="B20" t="s">
        <v>358</v>
      </c>
    </row>
    <row r="21" spans="1:13" x14ac:dyDescent="0.2">
      <c r="A21" t="s">
        <v>341</v>
      </c>
      <c r="B21" t="s">
        <v>342</v>
      </c>
      <c r="C21" t="s">
        <v>343</v>
      </c>
      <c r="D21" t="s">
        <v>359</v>
      </c>
    </row>
    <row r="22" spans="1:13" x14ac:dyDescent="0.2">
      <c r="A22" t="s">
        <v>345</v>
      </c>
    </row>
    <row r="23" spans="1:13" x14ac:dyDescent="0.2">
      <c r="A23" t="s">
        <v>346</v>
      </c>
    </row>
    <row r="24" spans="1:13" x14ac:dyDescent="0.2">
      <c r="A24" t="s">
        <v>347</v>
      </c>
      <c r="B24" t="s">
        <v>348</v>
      </c>
      <c r="C24" t="s">
        <v>349</v>
      </c>
      <c r="D24" t="s">
        <v>350</v>
      </c>
      <c r="E24" t="s">
        <v>351</v>
      </c>
      <c r="F24" t="s">
        <v>352</v>
      </c>
      <c r="G24" t="s">
        <v>353</v>
      </c>
      <c r="H24" t="s">
        <v>314</v>
      </c>
      <c r="I24" t="s">
        <v>351</v>
      </c>
      <c r="J24" t="s">
        <v>354</v>
      </c>
      <c r="K24" t="s">
        <v>355</v>
      </c>
      <c r="L24" s="85" t="s">
        <v>423</v>
      </c>
      <c r="M24" s="85" t="s">
        <v>424</v>
      </c>
    </row>
    <row r="25" spans="1:13" x14ac:dyDescent="0.2">
      <c r="A25" t="s">
        <v>356</v>
      </c>
      <c r="B25" t="s">
        <v>2</v>
      </c>
      <c r="C25">
        <v>57</v>
      </c>
      <c r="D25">
        <v>138237.1</v>
      </c>
      <c r="E25">
        <v>2.1</v>
      </c>
      <c r="F25">
        <v>125</v>
      </c>
      <c r="G25">
        <v>3.9180000000000001</v>
      </c>
      <c r="H25" t="s">
        <v>357</v>
      </c>
      <c r="I25">
        <v>3.1</v>
      </c>
      <c r="J25">
        <v>45113</v>
      </c>
      <c r="K25" t="s">
        <v>319</v>
      </c>
      <c r="L25" s="85"/>
      <c r="M25" s="85"/>
    </row>
    <row r="26" spans="1:13" x14ac:dyDescent="0.2">
      <c r="A26" t="s">
        <v>356</v>
      </c>
      <c r="B26" t="s">
        <v>1</v>
      </c>
      <c r="C26">
        <v>27</v>
      </c>
      <c r="D26">
        <v>2530383</v>
      </c>
      <c r="E26">
        <v>2.2000000000000002</v>
      </c>
      <c r="F26">
        <v>125</v>
      </c>
      <c r="G26">
        <v>2.8010000000000002</v>
      </c>
      <c r="H26" t="s">
        <v>357</v>
      </c>
      <c r="I26">
        <v>2.2000000000000002</v>
      </c>
      <c r="J26">
        <v>7344</v>
      </c>
      <c r="K26" t="s">
        <v>319</v>
      </c>
      <c r="L26" s="85"/>
      <c r="M26" s="85"/>
    </row>
    <row r="27" spans="1:13" x14ac:dyDescent="0.2">
      <c r="A27" t="s">
        <v>356</v>
      </c>
      <c r="B27" t="s">
        <v>227</v>
      </c>
      <c r="C27">
        <v>53</v>
      </c>
      <c r="D27">
        <v>7064.4</v>
      </c>
      <c r="E27">
        <v>2.5</v>
      </c>
      <c r="F27">
        <v>2.5</v>
      </c>
      <c r="G27">
        <v>6.5000000000000002E-2</v>
      </c>
      <c r="H27" t="s">
        <v>357</v>
      </c>
      <c r="I27">
        <v>2.6</v>
      </c>
      <c r="J27">
        <v>245</v>
      </c>
      <c r="K27" t="s">
        <v>319</v>
      </c>
      <c r="L27" s="85"/>
      <c r="M27" s="85"/>
    </row>
    <row r="28" spans="1:13" x14ac:dyDescent="0.2">
      <c r="A28" t="s">
        <v>356</v>
      </c>
      <c r="B28" t="s">
        <v>228</v>
      </c>
      <c r="C28">
        <v>55</v>
      </c>
      <c r="D28">
        <v>469531.5</v>
      </c>
      <c r="E28">
        <v>2.4</v>
      </c>
      <c r="F28">
        <v>12.5</v>
      </c>
      <c r="G28">
        <v>0.30099999999999999</v>
      </c>
      <c r="H28" t="s">
        <v>357</v>
      </c>
      <c r="I28">
        <v>2.4</v>
      </c>
      <c r="J28">
        <v>1061</v>
      </c>
      <c r="K28" t="s">
        <v>319</v>
      </c>
      <c r="L28" s="85"/>
      <c r="M28" s="85"/>
    </row>
    <row r="29" spans="1:13" x14ac:dyDescent="0.2">
      <c r="A29" t="s">
        <v>356</v>
      </c>
      <c r="B29" t="s">
        <v>229</v>
      </c>
      <c r="C29">
        <v>63</v>
      </c>
      <c r="D29">
        <v>176360.9</v>
      </c>
      <c r="E29">
        <v>2.1</v>
      </c>
      <c r="F29">
        <v>12.5</v>
      </c>
      <c r="G29">
        <v>0.26300000000000001</v>
      </c>
      <c r="H29" t="s">
        <v>357</v>
      </c>
      <c r="I29">
        <v>2.1</v>
      </c>
      <c r="J29">
        <v>350</v>
      </c>
      <c r="K29" t="s">
        <v>319</v>
      </c>
      <c r="L29" s="85"/>
      <c r="M29" s="85"/>
    </row>
    <row r="30" spans="1:13" x14ac:dyDescent="0.2">
      <c r="A30" t="s">
        <v>356</v>
      </c>
      <c r="B30" t="s">
        <v>230</v>
      </c>
      <c r="C30">
        <v>66</v>
      </c>
      <c r="D30">
        <v>44421.7</v>
      </c>
      <c r="E30">
        <v>2.5</v>
      </c>
      <c r="F30">
        <v>12.5</v>
      </c>
      <c r="G30">
        <v>0.312</v>
      </c>
      <c r="H30" t="s">
        <v>357</v>
      </c>
      <c r="I30">
        <v>2.5</v>
      </c>
      <c r="J30">
        <v>215</v>
      </c>
      <c r="K30" t="s">
        <v>319</v>
      </c>
      <c r="L30" s="85"/>
      <c r="M30" s="85"/>
    </row>
    <row r="31" spans="1:13" x14ac:dyDescent="0.2">
      <c r="A31" t="s">
        <v>356</v>
      </c>
      <c r="B31" t="s">
        <v>231</v>
      </c>
      <c r="C31">
        <v>75</v>
      </c>
      <c r="D31">
        <v>8564.2000000000007</v>
      </c>
      <c r="E31">
        <v>2.6</v>
      </c>
      <c r="F31">
        <v>2.5</v>
      </c>
      <c r="G31">
        <v>6.4000000000000001E-2</v>
      </c>
      <c r="H31" t="s">
        <v>357</v>
      </c>
      <c r="I31">
        <v>2.6</v>
      </c>
      <c r="J31">
        <v>16</v>
      </c>
      <c r="K31" t="s">
        <v>319</v>
      </c>
      <c r="L31" s="85"/>
      <c r="M31" s="85"/>
    </row>
    <row r="32" spans="1:13" x14ac:dyDescent="0.2">
      <c r="A32" t="s">
        <v>356</v>
      </c>
      <c r="B32" t="s">
        <v>232</v>
      </c>
      <c r="C32">
        <v>111</v>
      </c>
      <c r="D32">
        <v>10564.2</v>
      </c>
      <c r="E32">
        <v>1.4</v>
      </c>
      <c r="F32">
        <v>2.5</v>
      </c>
      <c r="G32">
        <v>3.4000000000000002E-2</v>
      </c>
      <c r="H32" t="s">
        <v>357</v>
      </c>
      <c r="I32">
        <v>1.4</v>
      </c>
      <c r="J32">
        <v>8</v>
      </c>
      <c r="K32" t="s">
        <v>319</v>
      </c>
      <c r="L32" s="85"/>
      <c r="M32" s="85"/>
    </row>
    <row r="33" spans="1:13" x14ac:dyDescent="0.2">
      <c r="A33" t="s">
        <v>356</v>
      </c>
      <c r="B33" t="s">
        <v>233</v>
      </c>
      <c r="C33">
        <v>118</v>
      </c>
      <c r="D33">
        <v>30028.2</v>
      </c>
      <c r="E33">
        <v>1.9</v>
      </c>
      <c r="F33">
        <v>2.5</v>
      </c>
      <c r="G33">
        <v>4.8000000000000001E-2</v>
      </c>
      <c r="H33" t="s">
        <v>357</v>
      </c>
      <c r="I33">
        <v>1.9</v>
      </c>
      <c r="J33">
        <v>91</v>
      </c>
      <c r="K33" t="s">
        <v>319</v>
      </c>
      <c r="L33" s="85"/>
      <c r="M33" s="85"/>
    </row>
    <row r="34" spans="1:13" x14ac:dyDescent="0.2">
      <c r="A34" t="s">
        <v>356</v>
      </c>
      <c r="B34" t="s">
        <v>234</v>
      </c>
      <c r="C34">
        <v>206</v>
      </c>
      <c r="D34">
        <v>24224.5</v>
      </c>
      <c r="E34">
        <v>1.7</v>
      </c>
      <c r="F34">
        <v>2.5</v>
      </c>
      <c r="G34">
        <v>4.3999999999999997E-2</v>
      </c>
      <c r="H34" t="s">
        <v>357</v>
      </c>
      <c r="I34">
        <v>1.8</v>
      </c>
      <c r="J34">
        <v>405</v>
      </c>
      <c r="K34" t="s">
        <v>319</v>
      </c>
      <c r="L34" s="145">
        <v>0.24099999999999999</v>
      </c>
      <c r="M34" s="85">
        <f>F34*L34</f>
        <v>0.60250000000000004</v>
      </c>
    </row>
    <row r="35" spans="1:13" x14ac:dyDescent="0.2">
      <c r="A35" t="s">
        <v>356</v>
      </c>
      <c r="B35" t="s">
        <v>234</v>
      </c>
      <c r="C35">
        <v>207</v>
      </c>
      <c r="D35">
        <v>18668.900000000001</v>
      </c>
      <c r="E35">
        <v>1.8</v>
      </c>
      <c r="F35">
        <v>2.5</v>
      </c>
      <c r="G35">
        <v>4.4999999999999998E-2</v>
      </c>
      <c r="H35" t="s">
        <v>357</v>
      </c>
      <c r="I35">
        <v>1.8</v>
      </c>
      <c r="J35">
        <v>377</v>
      </c>
      <c r="K35" t="s">
        <v>319</v>
      </c>
      <c r="L35" s="145">
        <v>0.221</v>
      </c>
      <c r="M35" s="85">
        <f t="shared" ref="M35:M36" si="1">F35*L35</f>
        <v>0.55249999999999999</v>
      </c>
    </row>
    <row r="36" spans="1:13" x14ac:dyDescent="0.2">
      <c r="A36" t="s">
        <v>356</v>
      </c>
      <c r="B36" t="s">
        <v>234</v>
      </c>
      <c r="C36">
        <v>208</v>
      </c>
      <c r="D36">
        <v>46314.3</v>
      </c>
      <c r="E36">
        <v>1.4</v>
      </c>
      <c r="F36">
        <v>2.5</v>
      </c>
      <c r="G36">
        <v>3.6999999999999998E-2</v>
      </c>
      <c r="H36" t="s">
        <v>357</v>
      </c>
      <c r="I36">
        <v>1.5</v>
      </c>
      <c r="J36">
        <v>905</v>
      </c>
      <c r="K36" t="s">
        <v>319</v>
      </c>
      <c r="L36" s="145">
        <v>0.52400000000000002</v>
      </c>
      <c r="M36" s="85">
        <f t="shared" si="1"/>
        <v>1.31</v>
      </c>
    </row>
    <row r="37" spans="1:13" x14ac:dyDescent="0.2">
      <c r="A37" t="s">
        <v>338</v>
      </c>
    </row>
    <row r="38" spans="1:13" x14ac:dyDescent="0.2">
      <c r="A38" t="s">
        <v>339</v>
      </c>
      <c r="B38" t="s">
        <v>360</v>
      </c>
    </row>
    <row r="39" spans="1:13" x14ac:dyDescent="0.2">
      <c r="A39" t="s">
        <v>341</v>
      </c>
      <c r="B39" t="s">
        <v>342</v>
      </c>
      <c r="C39" t="s">
        <v>343</v>
      </c>
      <c r="D39" t="s">
        <v>361</v>
      </c>
    </row>
    <row r="40" spans="1:13" x14ac:dyDescent="0.2">
      <c r="A40" t="s">
        <v>345</v>
      </c>
    </row>
    <row r="41" spans="1:13" x14ac:dyDescent="0.2">
      <c r="A41" t="s">
        <v>346</v>
      </c>
    </row>
    <row r="42" spans="1:13" x14ac:dyDescent="0.2">
      <c r="A42" t="s">
        <v>347</v>
      </c>
      <c r="B42" t="s">
        <v>348</v>
      </c>
      <c r="C42" t="s">
        <v>349</v>
      </c>
      <c r="D42" t="s">
        <v>350</v>
      </c>
      <c r="E42" t="s">
        <v>351</v>
      </c>
      <c r="F42" t="s">
        <v>352</v>
      </c>
      <c r="G42" t="s">
        <v>353</v>
      </c>
      <c r="H42" t="s">
        <v>314</v>
      </c>
      <c r="I42" t="s">
        <v>351</v>
      </c>
      <c r="J42" t="s">
        <v>354</v>
      </c>
      <c r="K42" t="s">
        <v>355</v>
      </c>
      <c r="L42" s="85" t="s">
        <v>423</v>
      </c>
      <c r="M42" s="85" t="s">
        <v>424</v>
      </c>
    </row>
    <row r="43" spans="1:13" x14ac:dyDescent="0.2">
      <c r="A43" t="s">
        <v>356</v>
      </c>
      <c r="B43" t="s">
        <v>2</v>
      </c>
      <c r="C43">
        <v>57</v>
      </c>
      <c r="D43">
        <v>231393</v>
      </c>
      <c r="E43">
        <v>0.5</v>
      </c>
      <c r="F43">
        <v>250.01</v>
      </c>
      <c r="G43">
        <v>1.4590000000000001</v>
      </c>
      <c r="H43" t="s">
        <v>357</v>
      </c>
      <c r="I43">
        <v>0.6</v>
      </c>
      <c r="J43">
        <v>45113</v>
      </c>
      <c r="K43" t="s">
        <v>319</v>
      </c>
      <c r="L43" s="85"/>
      <c r="M43" s="85"/>
    </row>
    <row r="44" spans="1:13" x14ac:dyDescent="0.2">
      <c r="A44" t="s">
        <v>356</v>
      </c>
      <c r="B44" t="s">
        <v>1</v>
      </c>
      <c r="C44">
        <v>27</v>
      </c>
      <c r="D44">
        <v>4913034.9000000004</v>
      </c>
      <c r="E44">
        <v>1</v>
      </c>
      <c r="F44">
        <v>248.58</v>
      </c>
      <c r="G44">
        <v>2.5009999999999999</v>
      </c>
      <c r="H44" t="s">
        <v>357</v>
      </c>
      <c r="I44">
        <v>1</v>
      </c>
      <c r="J44">
        <v>7344</v>
      </c>
      <c r="K44" t="s">
        <v>319</v>
      </c>
      <c r="L44" s="85"/>
      <c r="M44" s="85"/>
    </row>
    <row r="45" spans="1:13" x14ac:dyDescent="0.2">
      <c r="A45" t="s">
        <v>356</v>
      </c>
      <c r="B45" t="s">
        <v>227</v>
      </c>
      <c r="C45">
        <v>53</v>
      </c>
      <c r="D45">
        <v>13486</v>
      </c>
      <c r="E45">
        <v>1.6</v>
      </c>
      <c r="F45">
        <v>4.97</v>
      </c>
      <c r="G45">
        <v>0.08</v>
      </c>
      <c r="H45" t="s">
        <v>357</v>
      </c>
      <c r="I45">
        <v>1.6</v>
      </c>
      <c r="J45">
        <v>245</v>
      </c>
      <c r="K45" t="s">
        <v>319</v>
      </c>
      <c r="L45" s="85"/>
      <c r="M45" s="85"/>
    </row>
    <row r="46" spans="1:13" x14ac:dyDescent="0.2">
      <c r="A46" t="s">
        <v>356</v>
      </c>
      <c r="B46" t="s">
        <v>228</v>
      </c>
      <c r="C46">
        <v>55</v>
      </c>
      <c r="D46">
        <v>921931.6</v>
      </c>
      <c r="E46">
        <v>0.9</v>
      </c>
      <c r="F46">
        <v>24.91</v>
      </c>
      <c r="G46">
        <v>0.215</v>
      </c>
      <c r="H46" t="s">
        <v>357</v>
      </c>
      <c r="I46">
        <v>0.9</v>
      </c>
      <c r="J46">
        <v>1061</v>
      </c>
      <c r="K46" t="s">
        <v>319</v>
      </c>
      <c r="L46" s="85"/>
      <c r="M46" s="85"/>
    </row>
    <row r="47" spans="1:13" x14ac:dyDescent="0.2">
      <c r="A47" t="s">
        <v>356</v>
      </c>
      <c r="B47" t="s">
        <v>229</v>
      </c>
      <c r="C47">
        <v>63</v>
      </c>
      <c r="D47">
        <v>354593.9</v>
      </c>
      <c r="E47">
        <v>0.6</v>
      </c>
      <c r="F47">
        <v>25.03</v>
      </c>
      <c r="G47">
        <v>0.13900000000000001</v>
      </c>
      <c r="H47" t="s">
        <v>357</v>
      </c>
      <c r="I47">
        <v>0.6</v>
      </c>
      <c r="J47">
        <v>350</v>
      </c>
      <c r="K47" t="s">
        <v>319</v>
      </c>
      <c r="L47" s="85"/>
      <c r="M47" s="85"/>
    </row>
    <row r="48" spans="1:13" x14ac:dyDescent="0.2">
      <c r="A48" t="s">
        <v>356</v>
      </c>
      <c r="B48" t="s">
        <v>230</v>
      </c>
      <c r="C48">
        <v>66</v>
      </c>
      <c r="D48">
        <v>83728</v>
      </c>
      <c r="E48">
        <v>0.7</v>
      </c>
      <c r="F48">
        <v>24.71</v>
      </c>
      <c r="G48">
        <v>0.17299999999999999</v>
      </c>
      <c r="H48" t="s">
        <v>357</v>
      </c>
      <c r="I48">
        <v>0.7</v>
      </c>
      <c r="J48">
        <v>215</v>
      </c>
      <c r="K48" t="s">
        <v>319</v>
      </c>
      <c r="L48" s="85"/>
      <c r="M48" s="85"/>
    </row>
    <row r="49" spans="1:13" x14ac:dyDescent="0.2">
      <c r="A49" t="s">
        <v>356</v>
      </c>
      <c r="B49" t="s">
        <v>231</v>
      </c>
      <c r="C49">
        <v>75</v>
      </c>
      <c r="D49">
        <v>15376.3</v>
      </c>
      <c r="E49">
        <v>0.6</v>
      </c>
      <c r="F49">
        <v>4.8899999999999997</v>
      </c>
      <c r="G49">
        <v>2.8000000000000001E-2</v>
      </c>
      <c r="H49" t="s">
        <v>357</v>
      </c>
      <c r="I49">
        <v>0.6</v>
      </c>
      <c r="J49">
        <v>16</v>
      </c>
      <c r="K49" t="s">
        <v>319</v>
      </c>
      <c r="L49" s="85"/>
      <c r="M49" s="85"/>
    </row>
    <row r="50" spans="1:13" x14ac:dyDescent="0.2">
      <c r="A50" t="s">
        <v>356</v>
      </c>
      <c r="B50" t="s">
        <v>232</v>
      </c>
      <c r="C50">
        <v>111</v>
      </c>
      <c r="D50">
        <v>21248.799999999999</v>
      </c>
      <c r="E50">
        <v>0.7</v>
      </c>
      <c r="F50">
        <v>5.01</v>
      </c>
      <c r="G50">
        <v>3.6999999999999998E-2</v>
      </c>
      <c r="H50" t="s">
        <v>357</v>
      </c>
      <c r="I50">
        <v>0.7</v>
      </c>
      <c r="J50">
        <v>8</v>
      </c>
      <c r="K50" t="s">
        <v>319</v>
      </c>
      <c r="L50" s="85"/>
      <c r="M50" s="85"/>
    </row>
    <row r="51" spans="1:13" x14ac:dyDescent="0.2">
      <c r="A51" t="s">
        <v>356</v>
      </c>
      <c r="B51" t="s">
        <v>233</v>
      </c>
      <c r="C51">
        <v>118</v>
      </c>
      <c r="D51">
        <v>60117.9</v>
      </c>
      <c r="E51">
        <v>1.4</v>
      </c>
      <c r="F51">
        <v>5</v>
      </c>
      <c r="G51">
        <v>6.8000000000000005E-2</v>
      </c>
      <c r="H51" t="s">
        <v>357</v>
      </c>
      <c r="I51">
        <v>1.4</v>
      </c>
      <c r="J51">
        <v>91</v>
      </c>
      <c r="K51" t="s">
        <v>319</v>
      </c>
      <c r="L51" s="85"/>
      <c r="M51" s="85"/>
    </row>
    <row r="52" spans="1:13" x14ac:dyDescent="0.2">
      <c r="A52" t="s">
        <v>356</v>
      </c>
      <c r="B52" t="s">
        <v>234</v>
      </c>
      <c r="C52">
        <v>206</v>
      </c>
      <c r="D52">
        <v>47595.8</v>
      </c>
      <c r="E52">
        <v>0.2</v>
      </c>
      <c r="F52">
        <v>4.99</v>
      </c>
      <c r="G52">
        <v>8.9999999999999993E-3</v>
      </c>
      <c r="H52" t="s">
        <v>357</v>
      </c>
      <c r="I52">
        <v>0.2</v>
      </c>
      <c r="J52">
        <v>405</v>
      </c>
      <c r="K52" t="s">
        <v>319</v>
      </c>
      <c r="L52" s="145">
        <v>0.24099999999999999</v>
      </c>
      <c r="M52" s="85">
        <f>F52*L52</f>
        <v>1.20259</v>
      </c>
    </row>
    <row r="53" spans="1:13" x14ac:dyDescent="0.2">
      <c r="A53" t="s">
        <v>356</v>
      </c>
      <c r="B53" t="s">
        <v>234</v>
      </c>
      <c r="C53">
        <v>207</v>
      </c>
      <c r="D53">
        <v>36751.599999999999</v>
      </c>
      <c r="E53">
        <v>2</v>
      </c>
      <c r="F53">
        <v>4.99</v>
      </c>
      <c r="G53">
        <v>9.9000000000000005E-2</v>
      </c>
      <c r="H53" t="s">
        <v>357</v>
      </c>
      <c r="I53">
        <v>2</v>
      </c>
      <c r="J53">
        <v>377</v>
      </c>
      <c r="K53" t="s">
        <v>319</v>
      </c>
      <c r="L53" s="145">
        <v>0.221</v>
      </c>
      <c r="M53" s="85">
        <f t="shared" ref="M53:M54" si="2">F53*L53</f>
        <v>1.1027900000000002</v>
      </c>
    </row>
    <row r="54" spans="1:13" x14ac:dyDescent="0.2">
      <c r="A54" t="s">
        <v>356</v>
      </c>
      <c r="B54" t="s">
        <v>234</v>
      </c>
      <c r="C54">
        <v>208</v>
      </c>
      <c r="D54">
        <v>93488.6</v>
      </c>
      <c r="E54">
        <v>1.5</v>
      </c>
      <c r="F54">
        <v>5.0199999999999996</v>
      </c>
      <c r="G54">
        <v>7.6999999999999999E-2</v>
      </c>
      <c r="H54" t="s">
        <v>357</v>
      </c>
      <c r="I54">
        <v>1.5</v>
      </c>
      <c r="J54">
        <v>905</v>
      </c>
      <c r="K54" t="s">
        <v>319</v>
      </c>
      <c r="L54" s="145">
        <v>0.52400000000000002</v>
      </c>
      <c r="M54" s="85">
        <f t="shared" si="2"/>
        <v>2.6304799999999999</v>
      </c>
    </row>
    <row r="55" spans="1:13" x14ac:dyDescent="0.2">
      <c r="A55" t="s">
        <v>338</v>
      </c>
    </row>
    <row r="56" spans="1:13" x14ac:dyDescent="0.2">
      <c r="A56" t="s">
        <v>339</v>
      </c>
      <c r="B56" t="s">
        <v>362</v>
      </c>
    </row>
    <row r="57" spans="1:13" x14ac:dyDescent="0.2">
      <c r="A57" t="s">
        <v>341</v>
      </c>
      <c r="B57" t="s">
        <v>342</v>
      </c>
      <c r="C57" t="s">
        <v>343</v>
      </c>
      <c r="D57" t="s">
        <v>363</v>
      </c>
    </row>
    <row r="58" spans="1:13" x14ac:dyDescent="0.2">
      <c r="A58" t="s">
        <v>345</v>
      </c>
    </row>
    <row r="59" spans="1:13" x14ac:dyDescent="0.2">
      <c r="A59" t="s">
        <v>346</v>
      </c>
    </row>
    <row r="60" spans="1:13" x14ac:dyDescent="0.2">
      <c r="A60" t="s">
        <v>347</v>
      </c>
      <c r="B60" t="s">
        <v>348</v>
      </c>
      <c r="C60" t="s">
        <v>349</v>
      </c>
      <c r="D60" t="s">
        <v>350</v>
      </c>
      <c r="E60" t="s">
        <v>351</v>
      </c>
      <c r="F60" t="s">
        <v>352</v>
      </c>
      <c r="G60" t="s">
        <v>353</v>
      </c>
      <c r="H60" t="s">
        <v>314</v>
      </c>
      <c r="I60" t="s">
        <v>351</v>
      </c>
      <c r="J60" t="s">
        <v>354</v>
      </c>
      <c r="K60" t="s">
        <v>355</v>
      </c>
      <c r="L60" s="85" t="s">
        <v>423</v>
      </c>
      <c r="M60" s="85" t="s">
        <v>424</v>
      </c>
    </row>
    <row r="61" spans="1:13" x14ac:dyDescent="0.2">
      <c r="A61" t="s">
        <v>356</v>
      </c>
      <c r="B61" t="s">
        <v>2</v>
      </c>
      <c r="C61">
        <v>57</v>
      </c>
      <c r="D61">
        <v>327856</v>
      </c>
      <c r="E61">
        <v>0.9</v>
      </c>
      <c r="F61">
        <v>376.59</v>
      </c>
      <c r="G61">
        <v>4.0609999999999999</v>
      </c>
      <c r="H61" t="s">
        <v>357</v>
      </c>
      <c r="I61">
        <v>1.1000000000000001</v>
      </c>
      <c r="J61">
        <v>45113</v>
      </c>
      <c r="K61" t="s">
        <v>319</v>
      </c>
      <c r="L61" s="85"/>
      <c r="M61" s="85"/>
    </row>
    <row r="62" spans="1:13" x14ac:dyDescent="0.2">
      <c r="A62" t="s">
        <v>356</v>
      </c>
      <c r="B62" t="s">
        <v>1</v>
      </c>
      <c r="C62">
        <v>27</v>
      </c>
      <c r="D62">
        <v>7418754.5</v>
      </c>
      <c r="E62">
        <v>0.3</v>
      </c>
      <c r="F62">
        <v>375.19</v>
      </c>
      <c r="G62">
        <v>1.2150000000000001</v>
      </c>
      <c r="H62" t="s">
        <v>357</v>
      </c>
      <c r="I62">
        <v>0.3</v>
      </c>
      <c r="J62">
        <v>7344</v>
      </c>
      <c r="K62" t="s">
        <v>319</v>
      </c>
      <c r="L62" s="85"/>
      <c r="M62" s="85"/>
    </row>
    <row r="63" spans="1:13" x14ac:dyDescent="0.2">
      <c r="A63" t="s">
        <v>356</v>
      </c>
      <c r="B63" t="s">
        <v>227</v>
      </c>
      <c r="C63">
        <v>53</v>
      </c>
      <c r="D63">
        <v>20458.3</v>
      </c>
      <c r="E63">
        <v>1.5</v>
      </c>
      <c r="F63">
        <v>7.53</v>
      </c>
      <c r="G63">
        <v>0.111</v>
      </c>
      <c r="H63" t="s">
        <v>357</v>
      </c>
      <c r="I63">
        <v>1.5</v>
      </c>
      <c r="J63">
        <v>245</v>
      </c>
      <c r="K63" t="s">
        <v>319</v>
      </c>
      <c r="L63" s="85"/>
      <c r="M63" s="85"/>
    </row>
    <row r="64" spans="1:13" x14ac:dyDescent="0.2">
      <c r="A64" t="s">
        <v>356</v>
      </c>
      <c r="B64" t="s">
        <v>228</v>
      </c>
      <c r="C64">
        <v>55</v>
      </c>
      <c r="D64">
        <v>1390697.6</v>
      </c>
      <c r="E64">
        <v>0.3</v>
      </c>
      <c r="F64">
        <v>37.53</v>
      </c>
      <c r="G64">
        <v>0.123</v>
      </c>
      <c r="H64" t="s">
        <v>357</v>
      </c>
      <c r="I64">
        <v>0.3</v>
      </c>
      <c r="J64">
        <v>1061</v>
      </c>
      <c r="K64" t="s">
        <v>319</v>
      </c>
      <c r="L64" s="85"/>
      <c r="M64" s="85"/>
    </row>
    <row r="65" spans="1:13" x14ac:dyDescent="0.2">
      <c r="A65" t="s">
        <v>356</v>
      </c>
      <c r="B65" t="s">
        <v>229</v>
      </c>
      <c r="C65">
        <v>63</v>
      </c>
      <c r="D65">
        <v>537143.69999999995</v>
      </c>
      <c r="E65">
        <v>0.8</v>
      </c>
      <c r="F65">
        <v>37.65</v>
      </c>
      <c r="G65">
        <v>0.29399999999999998</v>
      </c>
      <c r="H65" t="s">
        <v>357</v>
      </c>
      <c r="I65">
        <v>0.8</v>
      </c>
      <c r="J65">
        <v>350</v>
      </c>
      <c r="K65" t="s">
        <v>319</v>
      </c>
      <c r="L65" s="85"/>
      <c r="M65" s="85"/>
    </row>
    <row r="66" spans="1:13" x14ac:dyDescent="0.2">
      <c r="A66" t="s">
        <v>356</v>
      </c>
      <c r="B66" t="s">
        <v>230</v>
      </c>
      <c r="C66">
        <v>66</v>
      </c>
      <c r="D66">
        <v>127111</v>
      </c>
      <c r="E66">
        <v>0.5</v>
      </c>
      <c r="F66">
        <v>37.520000000000003</v>
      </c>
      <c r="G66">
        <v>0.193</v>
      </c>
      <c r="H66" t="s">
        <v>357</v>
      </c>
      <c r="I66">
        <v>0.5</v>
      </c>
      <c r="J66">
        <v>215</v>
      </c>
      <c r="K66" t="s">
        <v>319</v>
      </c>
      <c r="L66" s="85"/>
      <c r="M66" s="85"/>
    </row>
    <row r="67" spans="1:13" x14ac:dyDescent="0.2">
      <c r="A67" t="s">
        <v>356</v>
      </c>
      <c r="B67" t="s">
        <v>231</v>
      </c>
      <c r="C67">
        <v>75</v>
      </c>
      <c r="D67">
        <v>23746.400000000001</v>
      </c>
      <c r="E67">
        <v>1.3</v>
      </c>
      <c r="F67">
        <v>7.52</v>
      </c>
      <c r="G67">
        <v>9.6000000000000002E-2</v>
      </c>
      <c r="H67" t="s">
        <v>357</v>
      </c>
      <c r="I67">
        <v>1.3</v>
      </c>
      <c r="J67">
        <v>16</v>
      </c>
      <c r="K67" t="s">
        <v>319</v>
      </c>
      <c r="L67" s="85"/>
      <c r="M67" s="85"/>
    </row>
    <row r="68" spans="1:13" x14ac:dyDescent="0.2">
      <c r="A68" t="s">
        <v>356</v>
      </c>
      <c r="B68" t="s">
        <v>232</v>
      </c>
      <c r="C68">
        <v>111</v>
      </c>
      <c r="D68">
        <v>32420.1</v>
      </c>
      <c r="E68">
        <v>0.4</v>
      </c>
      <c r="F68">
        <v>7.55</v>
      </c>
      <c r="G68">
        <v>3.3000000000000002E-2</v>
      </c>
      <c r="H68" t="s">
        <v>357</v>
      </c>
      <c r="I68">
        <v>0.4</v>
      </c>
      <c r="J68">
        <v>8</v>
      </c>
      <c r="K68" t="s">
        <v>319</v>
      </c>
      <c r="L68" s="85"/>
      <c r="M68" s="85"/>
    </row>
    <row r="69" spans="1:13" x14ac:dyDescent="0.2">
      <c r="A69" t="s">
        <v>356</v>
      </c>
      <c r="B69" t="s">
        <v>233</v>
      </c>
      <c r="C69">
        <v>118</v>
      </c>
      <c r="D69">
        <v>92368.7</v>
      </c>
      <c r="E69">
        <v>0.7</v>
      </c>
      <c r="F69">
        <v>7.57</v>
      </c>
      <c r="G69">
        <v>4.9000000000000002E-2</v>
      </c>
      <c r="H69" t="s">
        <v>357</v>
      </c>
      <c r="I69">
        <v>0.7</v>
      </c>
      <c r="J69">
        <v>91</v>
      </c>
      <c r="K69" t="s">
        <v>319</v>
      </c>
      <c r="L69" s="85"/>
      <c r="M69" s="85"/>
    </row>
    <row r="70" spans="1:13" x14ac:dyDescent="0.2">
      <c r="A70" t="s">
        <v>356</v>
      </c>
      <c r="B70" t="s">
        <v>234</v>
      </c>
      <c r="C70">
        <v>206</v>
      </c>
      <c r="D70">
        <v>71986.600000000006</v>
      </c>
      <c r="E70">
        <v>0.9</v>
      </c>
      <c r="F70">
        <v>7.52</v>
      </c>
      <c r="G70">
        <v>6.5000000000000002E-2</v>
      </c>
      <c r="H70" t="s">
        <v>357</v>
      </c>
      <c r="I70">
        <v>0.9</v>
      </c>
      <c r="J70">
        <v>405</v>
      </c>
      <c r="K70" t="s">
        <v>319</v>
      </c>
      <c r="L70" s="145">
        <v>0.24099999999999999</v>
      </c>
      <c r="M70" s="85">
        <f>F70*L70</f>
        <v>1.8123199999999999</v>
      </c>
    </row>
    <row r="71" spans="1:13" x14ac:dyDescent="0.2">
      <c r="A71" t="s">
        <v>356</v>
      </c>
      <c r="B71" t="s">
        <v>234</v>
      </c>
      <c r="C71">
        <v>207</v>
      </c>
      <c r="D71">
        <v>55477.9</v>
      </c>
      <c r="E71">
        <v>1.1000000000000001</v>
      </c>
      <c r="F71">
        <v>7.52</v>
      </c>
      <c r="G71">
        <v>8.2000000000000003E-2</v>
      </c>
      <c r="H71" t="s">
        <v>357</v>
      </c>
      <c r="I71">
        <v>1.1000000000000001</v>
      </c>
      <c r="J71">
        <v>377</v>
      </c>
      <c r="K71" t="s">
        <v>319</v>
      </c>
      <c r="L71" s="145">
        <v>0.221</v>
      </c>
      <c r="M71" s="85">
        <f t="shared" ref="M71:M72" si="3">F71*L71</f>
        <v>1.6619199999999998</v>
      </c>
    </row>
    <row r="72" spans="1:13" x14ac:dyDescent="0.2">
      <c r="A72" t="s">
        <v>356</v>
      </c>
      <c r="B72" t="s">
        <v>234</v>
      </c>
      <c r="C72">
        <v>208</v>
      </c>
      <c r="D72">
        <v>138772.79999999999</v>
      </c>
      <c r="E72">
        <v>0.8</v>
      </c>
      <c r="F72">
        <v>7.49</v>
      </c>
      <c r="G72">
        <v>0.06</v>
      </c>
      <c r="H72" t="s">
        <v>357</v>
      </c>
      <c r="I72">
        <v>0.8</v>
      </c>
      <c r="J72">
        <v>905</v>
      </c>
      <c r="K72" t="s">
        <v>319</v>
      </c>
      <c r="L72" s="145">
        <v>0.52400000000000002</v>
      </c>
      <c r="M72" s="85">
        <f t="shared" si="3"/>
        <v>3.9247600000000005</v>
      </c>
    </row>
    <row r="73" spans="1:13" x14ac:dyDescent="0.2">
      <c r="A73" t="s">
        <v>338</v>
      </c>
      <c r="L73" s="85"/>
      <c r="M73" s="85"/>
    </row>
    <row r="74" spans="1:13" x14ac:dyDescent="0.2">
      <c r="A74" t="s">
        <v>339</v>
      </c>
      <c r="B74" t="s">
        <v>364</v>
      </c>
      <c r="L74" s="85"/>
      <c r="M74" s="85"/>
    </row>
    <row r="75" spans="1:13" x14ac:dyDescent="0.2">
      <c r="A75" t="s">
        <v>341</v>
      </c>
      <c r="B75" t="s">
        <v>342</v>
      </c>
      <c r="C75" t="s">
        <v>343</v>
      </c>
      <c r="D75" t="s">
        <v>365</v>
      </c>
      <c r="L75" s="85"/>
      <c r="M75" s="85"/>
    </row>
    <row r="76" spans="1:13" x14ac:dyDescent="0.2">
      <c r="A76" t="s">
        <v>345</v>
      </c>
      <c r="L76" s="85"/>
      <c r="M76" s="85"/>
    </row>
    <row r="77" spans="1:13" x14ac:dyDescent="0.2">
      <c r="A77" t="s">
        <v>346</v>
      </c>
      <c r="L77" s="85"/>
      <c r="M77" s="85"/>
    </row>
    <row r="78" spans="1:13" x14ac:dyDescent="0.2">
      <c r="A78" t="s">
        <v>347</v>
      </c>
      <c r="B78" t="s">
        <v>348</v>
      </c>
      <c r="C78" t="s">
        <v>349</v>
      </c>
      <c r="D78" t="s">
        <v>350</v>
      </c>
      <c r="E78" t="s">
        <v>351</v>
      </c>
      <c r="F78" t="s">
        <v>352</v>
      </c>
      <c r="G78" t="s">
        <v>353</v>
      </c>
      <c r="H78" t="s">
        <v>314</v>
      </c>
      <c r="I78" t="s">
        <v>351</v>
      </c>
      <c r="J78" t="s">
        <v>354</v>
      </c>
      <c r="K78" t="s">
        <v>355</v>
      </c>
      <c r="L78" s="85" t="s">
        <v>423</v>
      </c>
      <c r="M78" s="85" t="s">
        <v>424</v>
      </c>
    </row>
    <row r="79" spans="1:13" x14ac:dyDescent="0.2">
      <c r="A79" t="s">
        <v>356</v>
      </c>
      <c r="B79" t="s">
        <v>2</v>
      </c>
      <c r="C79">
        <v>57</v>
      </c>
      <c r="D79">
        <v>430152</v>
      </c>
      <c r="E79">
        <v>0.2</v>
      </c>
      <c r="F79">
        <v>505.91</v>
      </c>
      <c r="G79">
        <v>1.391</v>
      </c>
      <c r="H79" t="s">
        <v>357</v>
      </c>
      <c r="I79">
        <v>0.3</v>
      </c>
      <c r="J79">
        <v>45113</v>
      </c>
      <c r="K79" t="s">
        <v>319</v>
      </c>
      <c r="L79" s="85"/>
      <c r="M79" s="85"/>
    </row>
    <row r="80" spans="1:13" x14ac:dyDescent="0.2">
      <c r="A80" t="s">
        <v>356</v>
      </c>
      <c r="B80" t="s">
        <v>1</v>
      </c>
      <c r="C80">
        <v>27</v>
      </c>
      <c r="D80">
        <v>10064037.4</v>
      </c>
      <c r="E80">
        <v>0.6</v>
      </c>
      <c r="F80">
        <v>504.21</v>
      </c>
      <c r="G80">
        <v>3.2090000000000001</v>
      </c>
      <c r="H80" t="s">
        <v>357</v>
      </c>
      <c r="I80">
        <v>0.6</v>
      </c>
      <c r="J80">
        <v>7344</v>
      </c>
      <c r="K80" t="s">
        <v>319</v>
      </c>
      <c r="L80" s="85"/>
      <c r="M80" s="85"/>
    </row>
    <row r="81" spans="1:13" x14ac:dyDescent="0.2">
      <c r="A81" t="s">
        <v>356</v>
      </c>
      <c r="B81" t="s">
        <v>227</v>
      </c>
      <c r="C81">
        <v>53</v>
      </c>
      <c r="D81">
        <v>27165.1</v>
      </c>
      <c r="E81">
        <v>0.8</v>
      </c>
      <c r="F81">
        <v>10.01</v>
      </c>
      <c r="G81">
        <v>0.08</v>
      </c>
      <c r="H81" t="s">
        <v>357</v>
      </c>
      <c r="I81">
        <v>0.8</v>
      </c>
      <c r="J81">
        <v>245</v>
      </c>
      <c r="K81" t="s">
        <v>319</v>
      </c>
      <c r="L81" s="85"/>
      <c r="M81" s="85"/>
    </row>
    <row r="82" spans="1:13" x14ac:dyDescent="0.2">
      <c r="A82" t="s">
        <v>356</v>
      </c>
      <c r="B82" t="s">
        <v>228</v>
      </c>
      <c r="C82">
        <v>55</v>
      </c>
      <c r="D82">
        <v>1875009.4</v>
      </c>
      <c r="E82">
        <v>1</v>
      </c>
      <c r="F82">
        <v>50.29</v>
      </c>
      <c r="G82">
        <v>0.48899999999999999</v>
      </c>
      <c r="H82" t="s">
        <v>357</v>
      </c>
      <c r="I82">
        <v>1</v>
      </c>
      <c r="J82">
        <v>1061</v>
      </c>
      <c r="K82" t="s">
        <v>319</v>
      </c>
      <c r="L82" s="85"/>
      <c r="M82" s="85"/>
    </row>
    <row r="83" spans="1:13" x14ac:dyDescent="0.2">
      <c r="A83" t="s">
        <v>356</v>
      </c>
      <c r="B83" t="s">
        <v>229</v>
      </c>
      <c r="C83">
        <v>63</v>
      </c>
      <c r="D83">
        <v>721400.5</v>
      </c>
      <c r="E83">
        <v>0.3</v>
      </c>
      <c r="F83">
        <v>50.27</v>
      </c>
      <c r="G83">
        <v>0.16600000000000001</v>
      </c>
      <c r="H83" t="s">
        <v>357</v>
      </c>
      <c r="I83">
        <v>0.3</v>
      </c>
      <c r="J83">
        <v>350</v>
      </c>
      <c r="K83" t="s">
        <v>319</v>
      </c>
      <c r="L83" s="85"/>
      <c r="M83" s="85"/>
    </row>
    <row r="84" spans="1:13" x14ac:dyDescent="0.2">
      <c r="A84" t="s">
        <v>356</v>
      </c>
      <c r="B84" t="s">
        <v>230</v>
      </c>
      <c r="C84">
        <v>66</v>
      </c>
      <c r="D84">
        <v>172846.8</v>
      </c>
      <c r="E84">
        <v>1.3</v>
      </c>
      <c r="F84">
        <v>50.48</v>
      </c>
      <c r="G84">
        <v>0.67200000000000004</v>
      </c>
      <c r="H84" t="s">
        <v>357</v>
      </c>
      <c r="I84">
        <v>1.3</v>
      </c>
      <c r="J84">
        <v>215</v>
      </c>
      <c r="K84" t="s">
        <v>319</v>
      </c>
      <c r="L84" s="85"/>
      <c r="M84" s="85"/>
    </row>
    <row r="85" spans="1:13" x14ac:dyDescent="0.2">
      <c r="A85" t="s">
        <v>356</v>
      </c>
      <c r="B85" t="s">
        <v>231</v>
      </c>
      <c r="C85">
        <v>75</v>
      </c>
      <c r="D85">
        <v>32733.5</v>
      </c>
      <c r="E85">
        <v>1.5</v>
      </c>
      <c r="F85">
        <v>10.17</v>
      </c>
      <c r="G85">
        <v>0.157</v>
      </c>
      <c r="H85" t="s">
        <v>357</v>
      </c>
      <c r="I85">
        <v>1.5</v>
      </c>
      <c r="J85">
        <v>16</v>
      </c>
      <c r="K85" t="s">
        <v>319</v>
      </c>
      <c r="L85" s="85"/>
      <c r="M85" s="85"/>
    </row>
    <row r="86" spans="1:13" x14ac:dyDescent="0.2">
      <c r="A86" t="s">
        <v>356</v>
      </c>
      <c r="B86" t="s">
        <v>232</v>
      </c>
      <c r="C86">
        <v>111</v>
      </c>
      <c r="D86">
        <v>42990.3</v>
      </c>
      <c r="E86">
        <v>0.7</v>
      </c>
      <c r="F86">
        <v>10.01</v>
      </c>
      <c r="G86">
        <v>7.2999999999999995E-2</v>
      </c>
      <c r="H86" t="s">
        <v>357</v>
      </c>
      <c r="I86">
        <v>0.7</v>
      </c>
      <c r="J86">
        <v>8</v>
      </c>
      <c r="K86" t="s">
        <v>319</v>
      </c>
      <c r="L86" s="85"/>
      <c r="M86" s="85"/>
    </row>
    <row r="87" spans="1:13" x14ac:dyDescent="0.2">
      <c r="A87" t="s">
        <v>356</v>
      </c>
      <c r="B87" t="s">
        <v>233</v>
      </c>
      <c r="C87">
        <v>118</v>
      </c>
      <c r="D87">
        <v>121171.7</v>
      </c>
      <c r="E87">
        <v>0.6</v>
      </c>
      <c r="F87">
        <v>9.9700000000000006</v>
      </c>
      <c r="G87">
        <v>5.8000000000000003E-2</v>
      </c>
      <c r="H87" t="s">
        <v>357</v>
      </c>
      <c r="I87">
        <v>0.6</v>
      </c>
      <c r="J87">
        <v>91</v>
      </c>
      <c r="K87" t="s">
        <v>319</v>
      </c>
      <c r="L87" s="85"/>
      <c r="M87" s="85"/>
    </row>
    <row r="88" spans="1:13" x14ac:dyDescent="0.2">
      <c r="A88" t="s">
        <v>356</v>
      </c>
      <c r="B88" t="s">
        <v>234</v>
      </c>
      <c r="C88">
        <v>206</v>
      </c>
      <c r="D88">
        <v>97032.1</v>
      </c>
      <c r="E88">
        <v>0.4</v>
      </c>
      <c r="F88">
        <v>10.07</v>
      </c>
      <c r="G88">
        <v>3.6999999999999998E-2</v>
      </c>
      <c r="H88" t="s">
        <v>357</v>
      </c>
      <c r="I88">
        <v>0.4</v>
      </c>
      <c r="J88">
        <v>405</v>
      </c>
      <c r="K88" t="s">
        <v>319</v>
      </c>
      <c r="L88" s="145">
        <v>0.24099999999999999</v>
      </c>
      <c r="M88" s="85">
        <f>F88*L88</f>
        <v>2.4268700000000001</v>
      </c>
    </row>
    <row r="89" spans="1:13" x14ac:dyDescent="0.2">
      <c r="A89" t="s">
        <v>356</v>
      </c>
      <c r="B89" t="s">
        <v>234</v>
      </c>
      <c r="C89">
        <v>207</v>
      </c>
      <c r="D89">
        <v>74595.3</v>
      </c>
      <c r="E89">
        <v>0.4</v>
      </c>
      <c r="F89">
        <v>10.06</v>
      </c>
      <c r="G89">
        <v>3.5999999999999997E-2</v>
      </c>
      <c r="H89" t="s">
        <v>357</v>
      </c>
      <c r="I89">
        <v>0.4</v>
      </c>
      <c r="J89">
        <v>377</v>
      </c>
      <c r="K89" t="s">
        <v>319</v>
      </c>
      <c r="L89" s="145">
        <v>0.221</v>
      </c>
      <c r="M89" s="85">
        <f t="shared" ref="M89:M90" si="4">F89*L89</f>
        <v>2.2232600000000002</v>
      </c>
    </row>
    <row r="90" spans="1:13" x14ac:dyDescent="0.2">
      <c r="A90" t="s">
        <v>356</v>
      </c>
      <c r="B90" t="s">
        <v>234</v>
      </c>
      <c r="C90">
        <v>208</v>
      </c>
      <c r="D90">
        <v>187968.2</v>
      </c>
      <c r="E90">
        <v>0.6</v>
      </c>
      <c r="F90">
        <v>10.08</v>
      </c>
      <c r="G90">
        <v>6.4000000000000001E-2</v>
      </c>
      <c r="H90" t="s">
        <v>357</v>
      </c>
      <c r="I90">
        <v>0.6</v>
      </c>
      <c r="J90">
        <v>905</v>
      </c>
      <c r="K90" t="s">
        <v>319</v>
      </c>
      <c r="L90" s="145">
        <v>0.52400000000000002</v>
      </c>
      <c r="M90" s="85">
        <f t="shared" si="4"/>
        <v>5.2819200000000004</v>
      </c>
    </row>
    <row r="91" spans="1:13" x14ac:dyDescent="0.2">
      <c r="A91" t="s">
        <v>338</v>
      </c>
      <c r="L91" s="85"/>
      <c r="M91" s="85"/>
    </row>
    <row r="92" spans="1:13" x14ac:dyDescent="0.2">
      <c r="A92" t="s">
        <v>339</v>
      </c>
      <c r="B92" t="s">
        <v>213</v>
      </c>
      <c r="L92" s="85"/>
      <c r="M92" s="85"/>
    </row>
    <row r="93" spans="1:13" x14ac:dyDescent="0.2">
      <c r="A93" t="s">
        <v>341</v>
      </c>
      <c r="B93" t="s">
        <v>342</v>
      </c>
      <c r="C93" t="s">
        <v>343</v>
      </c>
      <c r="D93" t="s">
        <v>366</v>
      </c>
      <c r="L93" s="85"/>
      <c r="M93" s="85"/>
    </row>
    <row r="94" spans="1:13" x14ac:dyDescent="0.2">
      <c r="A94" t="s">
        <v>345</v>
      </c>
      <c r="L94" s="85"/>
      <c r="M94" s="85"/>
    </row>
    <row r="95" spans="1:13" x14ac:dyDescent="0.2">
      <c r="A95" t="s">
        <v>346</v>
      </c>
      <c r="L95" s="85"/>
      <c r="M95" s="85"/>
    </row>
    <row r="96" spans="1:13" x14ac:dyDescent="0.2">
      <c r="A96" t="s">
        <v>347</v>
      </c>
      <c r="B96" t="s">
        <v>348</v>
      </c>
      <c r="C96" t="s">
        <v>349</v>
      </c>
      <c r="D96" t="s">
        <v>350</v>
      </c>
      <c r="E96" t="s">
        <v>351</v>
      </c>
      <c r="F96" t="s">
        <v>352</v>
      </c>
      <c r="G96" t="s">
        <v>353</v>
      </c>
      <c r="H96" t="s">
        <v>314</v>
      </c>
      <c r="I96" t="s">
        <v>351</v>
      </c>
      <c r="J96" t="s">
        <v>354</v>
      </c>
      <c r="K96" t="s">
        <v>355</v>
      </c>
      <c r="L96" s="85" t="s">
        <v>423</v>
      </c>
      <c r="M96" s="85" t="s">
        <v>424</v>
      </c>
    </row>
    <row r="97" spans="1:13" x14ac:dyDescent="0.2">
      <c r="A97" t="s">
        <v>356</v>
      </c>
      <c r="B97" t="s">
        <v>2</v>
      </c>
      <c r="C97">
        <v>57</v>
      </c>
      <c r="D97">
        <v>294415</v>
      </c>
      <c r="E97">
        <v>0.8</v>
      </c>
      <c r="F97">
        <v>327.56</v>
      </c>
      <c r="G97">
        <v>3.2330000000000001</v>
      </c>
      <c r="H97" t="s">
        <v>357</v>
      </c>
      <c r="I97">
        <v>1</v>
      </c>
      <c r="J97">
        <v>45113</v>
      </c>
      <c r="K97" t="s">
        <v>319</v>
      </c>
      <c r="L97" s="85"/>
      <c r="M97" s="85"/>
    </row>
    <row r="98" spans="1:13" x14ac:dyDescent="0.2">
      <c r="A98" t="s">
        <v>356</v>
      </c>
      <c r="B98" t="s">
        <v>1</v>
      </c>
      <c r="C98">
        <v>27</v>
      </c>
      <c r="D98">
        <v>4738203.5999999996</v>
      </c>
      <c r="E98">
        <v>0.7</v>
      </c>
      <c r="F98">
        <v>237.19</v>
      </c>
      <c r="G98">
        <v>1.5629999999999999</v>
      </c>
      <c r="H98" t="s">
        <v>357</v>
      </c>
      <c r="I98">
        <v>0.7</v>
      </c>
      <c r="J98">
        <v>7344</v>
      </c>
      <c r="K98" t="s">
        <v>319</v>
      </c>
      <c r="L98" s="85"/>
      <c r="M98" s="85"/>
    </row>
    <row r="99" spans="1:13" x14ac:dyDescent="0.2">
      <c r="A99" t="s">
        <v>356</v>
      </c>
      <c r="B99" t="s">
        <v>227</v>
      </c>
      <c r="C99">
        <v>53</v>
      </c>
      <c r="D99">
        <v>1551.1</v>
      </c>
      <c r="E99">
        <v>3.6</v>
      </c>
      <c r="F99">
        <v>0.49</v>
      </c>
      <c r="G99">
        <v>2.1000000000000001E-2</v>
      </c>
      <c r="H99" t="s">
        <v>357</v>
      </c>
      <c r="I99">
        <v>4.3</v>
      </c>
      <c r="J99">
        <v>245</v>
      </c>
      <c r="K99" t="s">
        <v>319</v>
      </c>
      <c r="L99" s="85"/>
      <c r="M99" s="85"/>
    </row>
    <row r="100" spans="1:13" x14ac:dyDescent="0.2">
      <c r="A100" t="s">
        <v>356</v>
      </c>
      <c r="B100" t="s">
        <v>228</v>
      </c>
      <c r="C100">
        <v>55</v>
      </c>
      <c r="D100">
        <v>1383053.9</v>
      </c>
      <c r="E100">
        <v>1.5</v>
      </c>
      <c r="F100">
        <v>37.08</v>
      </c>
      <c r="G100">
        <v>0.55800000000000005</v>
      </c>
      <c r="H100" t="s">
        <v>357</v>
      </c>
      <c r="I100">
        <v>1.5</v>
      </c>
      <c r="J100">
        <v>1061</v>
      </c>
      <c r="K100" t="s">
        <v>319</v>
      </c>
      <c r="L100" s="85"/>
      <c r="M100" s="85"/>
    </row>
    <row r="101" spans="1:13" x14ac:dyDescent="0.2">
      <c r="A101" t="s">
        <v>356</v>
      </c>
      <c r="B101" t="s">
        <v>229</v>
      </c>
      <c r="C101">
        <v>63</v>
      </c>
      <c r="D101">
        <v>13910.1</v>
      </c>
      <c r="E101">
        <v>1.7</v>
      </c>
      <c r="F101">
        <v>0.95</v>
      </c>
      <c r="G101">
        <v>1.7000000000000001E-2</v>
      </c>
      <c r="H101" t="s">
        <v>357</v>
      </c>
      <c r="I101">
        <v>1.8</v>
      </c>
      <c r="J101">
        <v>350</v>
      </c>
      <c r="K101" t="s">
        <v>319</v>
      </c>
      <c r="L101" s="85"/>
      <c r="M101" s="85"/>
    </row>
    <row r="102" spans="1:13" x14ac:dyDescent="0.2">
      <c r="A102" t="s">
        <v>356</v>
      </c>
      <c r="B102" t="s">
        <v>230</v>
      </c>
      <c r="C102">
        <v>66</v>
      </c>
      <c r="D102">
        <v>13129.7</v>
      </c>
      <c r="E102">
        <v>0.5</v>
      </c>
      <c r="F102">
        <v>3.78</v>
      </c>
      <c r="G102">
        <v>1.7999999999999999E-2</v>
      </c>
      <c r="H102" t="s">
        <v>357</v>
      </c>
      <c r="I102">
        <v>0.5</v>
      </c>
      <c r="J102">
        <v>215</v>
      </c>
      <c r="K102" t="s">
        <v>319</v>
      </c>
      <c r="L102" s="85"/>
      <c r="M102" s="85"/>
    </row>
    <row r="103" spans="1:13" x14ac:dyDescent="0.2">
      <c r="A103" t="s">
        <v>356</v>
      </c>
      <c r="B103" t="s">
        <v>231</v>
      </c>
      <c r="C103">
        <v>75</v>
      </c>
      <c r="D103">
        <v>819</v>
      </c>
      <c r="E103">
        <v>1.5</v>
      </c>
      <c r="F103">
        <v>0.25</v>
      </c>
      <c r="G103">
        <v>4.0000000000000001E-3</v>
      </c>
      <c r="H103" t="s">
        <v>357</v>
      </c>
      <c r="I103">
        <v>1.6</v>
      </c>
      <c r="J103">
        <v>16</v>
      </c>
      <c r="K103" t="s">
        <v>319</v>
      </c>
      <c r="L103" s="85"/>
      <c r="M103" s="85"/>
    </row>
    <row r="104" spans="1:13" x14ac:dyDescent="0.2">
      <c r="A104" t="s">
        <v>356</v>
      </c>
      <c r="B104" t="s">
        <v>232</v>
      </c>
      <c r="C104">
        <v>111</v>
      </c>
      <c r="D104">
        <v>88.7</v>
      </c>
      <c r="E104">
        <v>25.2</v>
      </c>
      <c r="F104">
        <v>0.02</v>
      </c>
      <c r="G104">
        <v>5.0000000000000001E-3</v>
      </c>
      <c r="H104" t="s">
        <v>357</v>
      </c>
      <c r="I104">
        <v>27.6</v>
      </c>
      <c r="J104">
        <v>8</v>
      </c>
      <c r="K104" t="s">
        <v>319</v>
      </c>
      <c r="L104" s="85"/>
      <c r="M104" s="85"/>
    </row>
    <row r="105" spans="1:13" x14ac:dyDescent="0.2">
      <c r="A105" t="s">
        <v>356</v>
      </c>
      <c r="B105" t="s">
        <v>233</v>
      </c>
      <c r="C105">
        <v>118</v>
      </c>
      <c r="D105">
        <v>559.70000000000005</v>
      </c>
      <c r="E105">
        <v>5.0999999999999996</v>
      </c>
      <c r="F105">
        <v>0.04</v>
      </c>
      <c r="G105">
        <v>2E-3</v>
      </c>
      <c r="H105" t="s">
        <v>357</v>
      </c>
      <c r="I105">
        <v>6</v>
      </c>
      <c r="J105">
        <v>91</v>
      </c>
      <c r="K105" t="s">
        <v>319</v>
      </c>
      <c r="L105" s="85"/>
      <c r="M105" s="85"/>
    </row>
    <row r="106" spans="1:13" x14ac:dyDescent="0.2">
      <c r="A106" t="s">
        <v>356</v>
      </c>
      <c r="B106" t="s">
        <v>234</v>
      </c>
      <c r="C106">
        <v>206</v>
      </c>
      <c r="D106">
        <v>3527.4</v>
      </c>
      <c r="E106">
        <v>0.8</v>
      </c>
      <c r="F106">
        <v>0.33</v>
      </c>
      <c r="G106">
        <v>3.0000000000000001E-3</v>
      </c>
      <c r="H106" t="s">
        <v>357</v>
      </c>
      <c r="I106">
        <v>0.9</v>
      </c>
      <c r="J106">
        <v>405</v>
      </c>
      <c r="K106" t="s">
        <v>319</v>
      </c>
      <c r="L106" s="145">
        <v>0.24099999999999999</v>
      </c>
      <c r="M106" s="85">
        <f>F106*L106</f>
        <v>7.9530000000000003E-2</v>
      </c>
    </row>
    <row r="107" spans="1:13" x14ac:dyDescent="0.2">
      <c r="A107" t="s">
        <v>356</v>
      </c>
      <c r="B107" t="s">
        <v>234</v>
      </c>
      <c r="C107">
        <v>207</v>
      </c>
      <c r="D107">
        <v>3076.7</v>
      </c>
      <c r="E107">
        <v>2.2999999999999998</v>
      </c>
      <c r="F107">
        <v>0.37</v>
      </c>
      <c r="G107">
        <v>0.01</v>
      </c>
      <c r="H107" t="s">
        <v>357</v>
      </c>
      <c r="I107">
        <v>2.7</v>
      </c>
      <c r="J107">
        <v>377</v>
      </c>
      <c r="K107" t="s">
        <v>319</v>
      </c>
      <c r="L107" s="145">
        <v>0.221</v>
      </c>
      <c r="M107" s="85">
        <f t="shared" ref="M107:M108" si="5">F107*L107</f>
        <v>8.1769999999999995E-2</v>
      </c>
    </row>
    <row r="108" spans="1:13" x14ac:dyDescent="0.2">
      <c r="A108" t="s">
        <v>356</v>
      </c>
      <c r="B108" t="s">
        <v>234</v>
      </c>
      <c r="C108">
        <v>208</v>
      </c>
      <c r="D108">
        <v>7665.7</v>
      </c>
      <c r="E108">
        <v>1.1000000000000001</v>
      </c>
      <c r="F108">
        <v>0.36</v>
      </c>
      <c r="G108">
        <v>5.0000000000000001E-3</v>
      </c>
      <c r="H108" t="s">
        <v>357</v>
      </c>
      <c r="I108">
        <v>1.3</v>
      </c>
      <c r="J108">
        <v>905</v>
      </c>
      <c r="K108" t="s">
        <v>319</v>
      </c>
      <c r="L108" s="145">
        <v>0.52400000000000002</v>
      </c>
      <c r="M108" s="85">
        <f t="shared" si="5"/>
        <v>0.18864</v>
      </c>
    </row>
    <row r="109" spans="1:13" x14ac:dyDescent="0.2">
      <c r="A109" t="s">
        <v>338</v>
      </c>
    </row>
    <row r="110" spans="1:13" x14ac:dyDescent="0.2">
      <c r="A110" t="s">
        <v>339</v>
      </c>
      <c r="B110" t="s">
        <v>214</v>
      </c>
    </row>
    <row r="111" spans="1:13" x14ac:dyDescent="0.2">
      <c r="A111" t="s">
        <v>341</v>
      </c>
      <c r="B111" t="s">
        <v>342</v>
      </c>
      <c r="C111" t="s">
        <v>343</v>
      </c>
      <c r="D111" t="s">
        <v>367</v>
      </c>
    </row>
    <row r="112" spans="1:13" x14ac:dyDescent="0.2">
      <c r="A112" t="s">
        <v>345</v>
      </c>
    </row>
    <row r="113" spans="1:13" x14ac:dyDescent="0.2">
      <c r="A113" t="s">
        <v>346</v>
      </c>
    </row>
    <row r="114" spans="1:13" x14ac:dyDescent="0.2">
      <c r="A114" t="s">
        <v>347</v>
      </c>
      <c r="B114" t="s">
        <v>348</v>
      </c>
      <c r="C114" t="s">
        <v>349</v>
      </c>
      <c r="D114" t="s">
        <v>350</v>
      </c>
      <c r="E114" t="s">
        <v>351</v>
      </c>
      <c r="F114" t="s">
        <v>352</v>
      </c>
      <c r="G114" t="s">
        <v>353</v>
      </c>
      <c r="H114" t="s">
        <v>314</v>
      </c>
      <c r="I114" t="s">
        <v>351</v>
      </c>
      <c r="J114" t="s">
        <v>354</v>
      </c>
      <c r="K114" t="s">
        <v>355</v>
      </c>
      <c r="L114" s="85" t="s">
        <v>423</v>
      </c>
      <c r="M114" s="85" t="s">
        <v>424</v>
      </c>
    </row>
    <row r="115" spans="1:13" x14ac:dyDescent="0.2">
      <c r="A115" t="s">
        <v>356</v>
      </c>
      <c r="B115" t="s">
        <v>2</v>
      </c>
      <c r="C115">
        <v>57</v>
      </c>
      <c r="D115">
        <v>269123</v>
      </c>
      <c r="E115">
        <v>0.5</v>
      </c>
      <c r="F115">
        <v>294.33</v>
      </c>
      <c r="G115">
        <v>1.615</v>
      </c>
      <c r="H115" t="s">
        <v>357</v>
      </c>
      <c r="I115">
        <v>0.5</v>
      </c>
      <c r="J115">
        <v>45113</v>
      </c>
      <c r="K115" t="s">
        <v>319</v>
      </c>
      <c r="L115" s="85"/>
      <c r="M115" s="85"/>
    </row>
    <row r="116" spans="1:13" x14ac:dyDescent="0.2">
      <c r="A116" t="s">
        <v>356</v>
      </c>
      <c r="B116" t="s">
        <v>1</v>
      </c>
      <c r="C116">
        <v>27</v>
      </c>
      <c r="D116">
        <v>3981081.3</v>
      </c>
      <c r="E116">
        <v>2.5</v>
      </c>
      <c r="F116">
        <v>199.23</v>
      </c>
      <c r="G116">
        <v>4.9729999999999999</v>
      </c>
      <c r="H116" t="s">
        <v>357</v>
      </c>
      <c r="I116">
        <v>2.5</v>
      </c>
      <c r="J116">
        <v>7344</v>
      </c>
      <c r="K116" t="s">
        <v>319</v>
      </c>
      <c r="L116" s="85"/>
      <c r="M116" s="85"/>
    </row>
    <row r="117" spans="1:13" x14ac:dyDescent="0.2">
      <c r="A117" t="s">
        <v>356</v>
      </c>
      <c r="B117" t="s">
        <v>227</v>
      </c>
      <c r="C117">
        <v>53</v>
      </c>
      <c r="D117">
        <v>1675.1</v>
      </c>
      <c r="E117">
        <v>5.2</v>
      </c>
      <c r="F117">
        <v>0.53</v>
      </c>
      <c r="G117">
        <v>3.2000000000000001E-2</v>
      </c>
      <c r="H117" t="s">
        <v>357</v>
      </c>
      <c r="I117">
        <v>6.1</v>
      </c>
      <c r="J117">
        <v>245</v>
      </c>
      <c r="K117" t="s">
        <v>319</v>
      </c>
      <c r="L117" s="85"/>
      <c r="M117" s="85"/>
    </row>
    <row r="118" spans="1:13" x14ac:dyDescent="0.2">
      <c r="A118" t="s">
        <v>356</v>
      </c>
      <c r="B118" t="s">
        <v>228</v>
      </c>
      <c r="C118">
        <v>55</v>
      </c>
      <c r="D118">
        <v>696549.9</v>
      </c>
      <c r="E118">
        <v>0.6</v>
      </c>
      <c r="F118">
        <v>18.66</v>
      </c>
      <c r="G118">
        <v>0.108</v>
      </c>
      <c r="H118" t="s">
        <v>357</v>
      </c>
      <c r="I118">
        <v>0.6</v>
      </c>
      <c r="J118">
        <v>1061</v>
      </c>
      <c r="K118" t="s">
        <v>319</v>
      </c>
      <c r="L118" s="85"/>
      <c r="M118" s="85"/>
    </row>
    <row r="119" spans="1:13" x14ac:dyDescent="0.2">
      <c r="A119" t="s">
        <v>356</v>
      </c>
      <c r="B119" t="s">
        <v>229</v>
      </c>
      <c r="C119">
        <v>63</v>
      </c>
      <c r="D119">
        <v>15987.3</v>
      </c>
      <c r="E119">
        <v>1.7</v>
      </c>
      <c r="F119">
        <v>1.0900000000000001</v>
      </c>
      <c r="G119">
        <v>1.7999999999999999E-2</v>
      </c>
      <c r="H119" t="s">
        <v>357</v>
      </c>
      <c r="I119">
        <v>1.7</v>
      </c>
      <c r="J119">
        <v>350</v>
      </c>
      <c r="K119" t="s">
        <v>319</v>
      </c>
      <c r="L119" s="85"/>
      <c r="M119" s="85"/>
    </row>
    <row r="120" spans="1:13" x14ac:dyDescent="0.2">
      <c r="A120" t="s">
        <v>356</v>
      </c>
      <c r="B120" t="s">
        <v>230</v>
      </c>
      <c r="C120">
        <v>66</v>
      </c>
      <c r="D120">
        <v>11162</v>
      </c>
      <c r="E120">
        <v>0.3</v>
      </c>
      <c r="F120">
        <v>3.2</v>
      </c>
      <c r="G120">
        <v>0.01</v>
      </c>
      <c r="H120" t="s">
        <v>357</v>
      </c>
      <c r="I120">
        <v>0.3</v>
      </c>
      <c r="J120">
        <v>215</v>
      </c>
      <c r="K120" t="s">
        <v>319</v>
      </c>
      <c r="L120" s="85"/>
      <c r="M120" s="85"/>
    </row>
    <row r="121" spans="1:13" x14ac:dyDescent="0.2">
      <c r="A121" t="s">
        <v>356</v>
      </c>
      <c r="B121" t="s">
        <v>231</v>
      </c>
      <c r="C121">
        <v>75</v>
      </c>
      <c r="D121">
        <v>1076.7</v>
      </c>
      <c r="E121">
        <v>3.1</v>
      </c>
      <c r="F121">
        <v>0.33</v>
      </c>
      <c r="G121">
        <v>0.01</v>
      </c>
      <c r="H121" t="s">
        <v>357</v>
      </c>
      <c r="I121">
        <v>3.2</v>
      </c>
      <c r="J121">
        <v>16</v>
      </c>
      <c r="K121" t="s">
        <v>319</v>
      </c>
      <c r="L121" s="85"/>
      <c r="M121" s="85"/>
    </row>
    <row r="122" spans="1:13" x14ac:dyDescent="0.2">
      <c r="A122" t="s">
        <v>356</v>
      </c>
      <c r="B122" t="s">
        <v>232</v>
      </c>
      <c r="C122">
        <v>111</v>
      </c>
      <c r="D122">
        <v>52.3</v>
      </c>
      <c r="E122">
        <v>17.100000000000001</v>
      </c>
      <c r="F122">
        <v>0.01</v>
      </c>
      <c r="G122">
        <v>2E-3</v>
      </c>
      <c r="H122" t="s">
        <v>357</v>
      </c>
      <c r="I122">
        <v>20.100000000000001</v>
      </c>
      <c r="J122">
        <v>8</v>
      </c>
      <c r="K122" t="s">
        <v>319</v>
      </c>
      <c r="L122" s="85"/>
      <c r="M122" s="85"/>
    </row>
    <row r="123" spans="1:13" x14ac:dyDescent="0.2">
      <c r="A123" t="s">
        <v>356</v>
      </c>
      <c r="B123" t="s">
        <v>233</v>
      </c>
      <c r="C123">
        <v>118</v>
      </c>
      <c r="D123">
        <v>531</v>
      </c>
      <c r="E123">
        <v>5.0999999999999996</v>
      </c>
      <c r="F123">
        <v>0.04</v>
      </c>
      <c r="G123">
        <v>2E-3</v>
      </c>
      <c r="H123" t="s">
        <v>357</v>
      </c>
      <c r="I123">
        <v>6.1</v>
      </c>
      <c r="J123">
        <v>91</v>
      </c>
      <c r="K123" t="s">
        <v>319</v>
      </c>
      <c r="L123" s="85"/>
      <c r="M123" s="85"/>
    </row>
    <row r="124" spans="1:13" x14ac:dyDescent="0.2">
      <c r="A124" t="s">
        <v>356</v>
      </c>
      <c r="B124" t="s">
        <v>234</v>
      </c>
      <c r="C124">
        <v>206</v>
      </c>
      <c r="D124">
        <v>2726.3</v>
      </c>
      <c r="E124">
        <v>0.9</v>
      </c>
      <c r="F124">
        <v>0.24</v>
      </c>
      <c r="G124">
        <v>3.0000000000000001E-3</v>
      </c>
      <c r="H124" t="s">
        <v>357</v>
      </c>
      <c r="I124">
        <v>1</v>
      </c>
      <c r="J124">
        <v>405</v>
      </c>
      <c r="K124" t="s">
        <v>319</v>
      </c>
      <c r="L124" s="145">
        <v>0.24099999999999999</v>
      </c>
      <c r="M124" s="85">
        <f>F124*L124</f>
        <v>5.7839999999999996E-2</v>
      </c>
    </row>
    <row r="125" spans="1:13" x14ac:dyDescent="0.2">
      <c r="A125" t="s">
        <v>356</v>
      </c>
      <c r="B125" t="s">
        <v>234</v>
      </c>
      <c r="C125">
        <v>207</v>
      </c>
      <c r="D125">
        <v>2336.5</v>
      </c>
      <c r="E125">
        <v>0.8</v>
      </c>
      <c r="F125">
        <v>0.27</v>
      </c>
      <c r="G125">
        <v>2E-3</v>
      </c>
      <c r="H125" t="s">
        <v>357</v>
      </c>
      <c r="I125">
        <v>0.9</v>
      </c>
      <c r="J125">
        <v>377</v>
      </c>
      <c r="K125" t="s">
        <v>319</v>
      </c>
      <c r="L125" s="145">
        <v>0.221</v>
      </c>
      <c r="M125" s="85">
        <f t="shared" ref="M125:M126" si="6">F125*L125</f>
        <v>5.9670000000000008E-2</v>
      </c>
    </row>
    <row r="126" spans="1:13" x14ac:dyDescent="0.2">
      <c r="A126" t="s">
        <v>356</v>
      </c>
      <c r="B126" t="s">
        <v>234</v>
      </c>
      <c r="C126">
        <v>208</v>
      </c>
      <c r="D126">
        <v>5837.5</v>
      </c>
      <c r="E126">
        <v>1.2</v>
      </c>
      <c r="F126">
        <v>0.27</v>
      </c>
      <c r="G126">
        <v>4.0000000000000001E-3</v>
      </c>
      <c r="H126" t="s">
        <v>357</v>
      </c>
      <c r="I126">
        <v>1.4</v>
      </c>
      <c r="J126">
        <v>905</v>
      </c>
      <c r="K126" t="s">
        <v>319</v>
      </c>
      <c r="L126" s="145">
        <v>0.52400000000000002</v>
      </c>
      <c r="M126" s="85">
        <f t="shared" si="6"/>
        <v>0.14148000000000002</v>
      </c>
    </row>
    <row r="127" spans="1:13" x14ac:dyDescent="0.2">
      <c r="A127" t="s">
        <v>338</v>
      </c>
      <c r="L127" s="85"/>
      <c r="M127" s="85"/>
    </row>
    <row r="128" spans="1:13" x14ac:dyDescent="0.2">
      <c r="A128" t="s">
        <v>339</v>
      </c>
      <c r="B128" t="s">
        <v>215</v>
      </c>
      <c r="L128" s="85"/>
      <c r="M128" s="85"/>
    </row>
    <row r="129" spans="1:13" x14ac:dyDescent="0.2">
      <c r="A129" t="s">
        <v>341</v>
      </c>
      <c r="B129" t="s">
        <v>342</v>
      </c>
      <c r="C129" t="s">
        <v>343</v>
      </c>
      <c r="D129" t="s">
        <v>368</v>
      </c>
      <c r="L129" s="85"/>
      <c r="M129" s="85"/>
    </row>
    <row r="130" spans="1:13" x14ac:dyDescent="0.2">
      <c r="A130" t="s">
        <v>345</v>
      </c>
      <c r="L130" s="85"/>
      <c r="M130" s="85"/>
    </row>
    <row r="131" spans="1:13" x14ac:dyDescent="0.2">
      <c r="A131" t="s">
        <v>346</v>
      </c>
      <c r="L131" s="85"/>
      <c r="M131" s="85"/>
    </row>
    <row r="132" spans="1:13" x14ac:dyDescent="0.2">
      <c r="A132" t="s">
        <v>347</v>
      </c>
      <c r="B132" t="s">
        <v>348</v>
      </c>
      <c r="C132" t="s">
        <v>349</v>
      </c>
      <c r="D132" t="s">
        <v>350</v>
      </c>
      <c r="E132" t="s">
        <v>351</v>
      </c>
      <c r="F132" t="s">
        <v>352</v>
      </c>
      <c r="G132" t="s">
        <v>353</v>
      </c>
      <c r="H132" t="s">
        <v>314</v>
      </c>
      <c r="I132" t="s">
        <v>351</v>
      </c>
      <c r="J132" t="s">
        <v>354</v>
      </c>
      <c r="K132" t="s">
        <v>355</v>
      </c>
      <c r="L132" s="85" t="s">
        <v>423</v>
      </c>
      <c r="M132" s="85" t="s">
        <v>424</v>
      </c>
    </row>
    <row r="133" spans="1:13" x14ac:dyDescent="0.2">
      <c r="A133" t="s">
        <v>356</v>
      </c>
      <c r="B133" t="s">
        <v>2</v>
      </c>
      <c r="C133">
        <v>57</v>
      </c>
      <c r="D133">
        <v>819893.4</v>
      </c>
      <c r="E133">
        <v>0.9</v>
      </c>
      <c r="F133">
        <v>1018</v>
      </c>
      <c r="G133">
        <v>9.7899999999999991</v>
      </c>
      <c r="H133" t="s">
        <v>357</v>
      </c>
      <c r="I133">
        <v>1</v>
      </c>
      <c r="J133">
        <v>45113</v>
      </c>
      <c r="K133" t="s">
        <v>319</v>
      </c>
      <c r="L133" s="85"/>
      <c r="M133" s="85"/>
    </row>
    <row r="134" spans="1:13" x14ac:dyDescent="0.2">
      <c r="A134" t="s">
        <v>356</v>
      </c>
      <c r="B134" t="s">
        <v>1</v>
      </c>
      <c r="C134">
        <v>27</v>
      </c>
      <c r="D134">
        <v>22908072.399999999</v>
      </c>
      <c r="E134">
        <v>1.5</v>
      </c>
      <c r="F134">
        <v>1148.17</v>
      </c>
      <c r="G134">
        <v>17.337</v>
      </c>
      <c r="H134" t="s">
        <v>357</v>
      </c>
      <c r="I134">
        <v>1.5</v>
      </c>
      <c r="J134">
        <v>7344</v>
      </c>
      <c r="K134" t="s">
        <v>319</v>
      </c>
      <c r="L134" s="85"/>
      <c r="M134" s="85"/>
    </row>
    <row r="135" spans="1:13" x14ac:dyDescent="0.2">
      <c r="A135" t="s">
        <v>356</v>
      </c>
      <c r="B135" t="s">
        <v>227</v>
      </c>
      <c r="C135">
        <v>53</v>
      </c>
      <c r="D135">
        <v>8149.3</v>
      </c>
      <c r="E135">
        <v>0.9</v>
      </c>
      <c r="F135">
        <v>2.94</v>
      </c>
      <c r="G135">
        <v>2.7E-2</v>
      </c>
      <c r="H135" t="s">
        <v>357</v>
      </c>
      <c r="I135">
        <v>0.9</v>
      </c>
      <c r="J135">
        <v>245</v>
      </c>
      <c r="K135" t="s">
        <v>319</v>
      </c>
      <c r="L135" s="85"/>
      <c r="M135" s="85"/>
    </row>
    <row r="136" spans="1:13" x14ac:dyDescent="0.2">
      <c r="A136" t="s">
        <v>356</v>
      </c>
      <c r="B136" t="s">
        <v>228</v>
      </c>
      <c r="C136">
        <v>55</v>
      </c>
      <c r="D136">
        <v>889798.1</v>
      </c>
      <c r="E136">
        <v>1.1000000000000001</v>
      </c>
      <c r="F136">
        <v>23.85</v>
      </c>
      <c r="G136">
        <v>0.26500000000000001</v>
      </c>
      <c r="H136" t="s">
        <v>357</v>
      </c>
      <c r="I136">
        <v>1.1000000000000001</v>
      </c>
      <c r="J136">
        <v>1061</v>
      </c>
      <c r="K136" t="s">
        <v>319</v>
      </c>
      <c r="L136" s="85"/>
      <c r="M136" s="85"/>
    </row>
    <row r="137" spans="1:13" x14ac:dyDescent="0.2">
      <c r="A137" t="s">
        <v>356</v>
      </c>
      <c r="B137" t="s">
        <v>229</v>
      </c>
      <c r="C137">
        <v>63</v>
      </c>
      <c r="D137">
        <v>48055.4</v>
      </c>
      <c r="E137">
        <v>0.7</v>
      </c>
      <c r="F137">
        <v>3.33</v>
      </c>
      <c r="G137">
        <v>2.4E-2</v>
      </c>
      <c r="H137" t="s">
        <v>357</v>
      </c>
      <c r="I137">
        <v>0.7</v>
      </c>
      <c r="J137">
        <v>350</v>
      </c>
      <c r="K137" t="s">
        <v>319</v>
      </c>
      <c r="L137" s="85"/>
      <c r="M137" s="85"/>
    </row>
    <row r="138" spans="1:13" x14ac:dyDescent="0.2">
      <c r="A138" t="s">
        <v>356</v>
      </c>
      <c r="B138" t="s">
        <v>230</v>
      </c>
      <c r="C138">
        <v>66</v>
      </c>
      <c r="D138">
        <v>35493.699999999997</v>
      </c>
      <c r="E138">
        <v>0.9</v>
      </c>
      <c r="F138">
        <v>10.32</v>
      </c>
      <c r="G138">
        <v>9.5000000000000001E-2</v>
      </c>
      <c r="H138" t="s">
        <v>357</v>
      </c>
      <c r="I138">
        <v>0.9</v>
      </c>
      <c r="J138">
        <v>215</v>
      </c>
      <c r="K138" t="s">
        <v>319</v>
      </c>
      <c r="L138" s="85"/>
      <c r="M138" s="85"/>
    </row>
    <row r="139" spans="1:13" x14ac:dyDescent="0.2">
      <c r="A139" t="s">
        <v>356</v>
      </c>
      <c r="B139" t="s">
        <v>231</v>
      </c>
      <c r="C139">
        <v>75</v>
      </c>
      <c r="D139">
        <v>1820.4</v>
      </c>
      <c r="E139">
        <v>2.2999999999999998</v>
      </c>
      <c r="F139">
        <v>0.56000000000000005</v>
      </c>
      <c r="G139">
        <v>1.2999999999999999E-2</v>
      </c>
      <c r="H139" t="s">
        <v>357</v>
      </c>
      <c r="I139">
        <v>2.2999999999999998</v>
      </c>
      <c r="J139">
        <v>16</v>
      </c>
      <c r="K139" t="s">
        <v>319</v>
      </c>
      <c r="L139" s="85"/>
      <c r="M139" s="85"/>
    </row>
    <row r="140" spans="1:13" x14ac:dyDescent="0.2">
      <c r="A140" t="s">
        <v>356</v>
      </c>
      <c r="B140" t="s">
        <v>232</v>
      </c>
      <c r="C140">
        <v>111</v>
      </c>
      <c r="D140">
        <v>200.7</v>
      </c>
      <c r="E140">
        <v>7.7</v>
      </c>
      <c r="F140">
        <v>0.04</v>
      </c>
      <c r="G140">
        <v>4.0000000000000001E-3</v>
      </c>
      <c r="H140" t="s">
        <v>357</v>
      </c>
      <c r="I140">
        <v>8</v>
      </c>
      <c r="J140">
        <v>8</v>
      </c>
      <c r="K140" t="s">
        <v>319</v>
      </c>
      <c r="L140" s="85"/>
      <c r="M140" s="85"/>
    </row>
    <row r="141" spans="1:13" x14ac:dyDescent="0.2">
      <c r="A141" t="s">
        <v>356</v>
      </c>
      <c r="B141" t="s">
        <v>233</v>
      </c>
      <c r="C141">
        <v>118</v>
      </c>
      <c r="D141">
        <v>1603.4</v>
      </c>
      <c r="E141">
        <v>3.6</v>
      </c>
      <c r="F141">
        <v>0.12</v>
      </c>
      <c r="G141">
        <v>5.0000000000000001E-3</v>
      </c>
      <c r="H141" t="s">
        <v>357</v>
      </c>
      <c r="I141">
        <v>3.9</v>
      </c>
      <c r="J141">
        <v>91</v>
      </c>
      <c r="K141" t="s">
        <v>319</v>
      </c>
      <c r="L141" s="85"/>
      <c r="M141" s="85"/>
    </row>
    <row r="142" spans="1:13" x14ac:dyDescent="0.2">
      <c r="A142" t="s">
        <v>356</v>
      </c>
      <c r="B142" t="s">
        <v>234</v>
      </c>
      <c r="C142">
        <v>206</v>
      </c>
      <c r="D142">
        <v>16114.8</v>
      </c>
      <c r="E142">
        <v>1</v>
      </c>
      <c r="F142">
        <v>1.64</v>
      </c>
      <c r="G142">
        <v>1.7000000000000001E-2</v>
      </c>
      <c r="H142" t="s">
        <v>357</v>
      </c>
      <c r="I142">
        <v>1.1000000000000001</v>
      </c>
      <c r="J142">
        <v>405</v>
      </c>
      <c r="K142" t="s">
        <v>319</v>
      </c>
      <c r="L142" s="145">
        <v>0.24099999999999999</v>
      </c>
      <c r="M142" s="85">
        <f>F142*L142</f>
        <v>0.39523999999999998</v>
      </c>
    </row>
    <row r="143" spans="1:13" x14ac:dyDescent="0.2">
      <c r="A143" t="s">
        <v>356</v>
      </c>
      <c r="B143" t="s">
        <v>234</v>
      </c>
      <c r="C143">
        <v>207</v>
      </c>
      <c r="D143">
        <v>13746.9</v>
      </c>
      <c r="E143">
        <v>1</v>
      </c>
      <c r="F143">
        <v>1.81</v>
      </c>
      <c r="G143">
        <v>1.9E-2</v>
      </c>
      <c r="H143" t="s">
        <v>357</v>
      </c>
      <c r="I143">
        <v>1</v>
      </c>
      <c r="J143">
        <v>377</v>
      </c>
      <c r="K143" t="s">
        <v>319</v>
      </c>
      <c r="L143" s="145">
        <v>0.221</v>
      </c>
      <c r="M143" s="85">
        <f t="shared" ref="M143:M144" si="7">F143*L143</f>
        <v>0.40001000000000003</v>
      </c>
    </row>
    <row r="144" spans="1:13" x14ac:dyDescent="0.2">
      <c r="A144" t="s">
        <v>356</v>
      </c>
      <c r="B144" t="s">
        <v>234</v>
      </c>
      <c r="C144">
        <v>208</v>
      </c>
      <c r="D144">
        <v>33924.9</v>
      </c>
      <c r="E144">
        <v>1.5</v>
      </c>
      <c r="F144">
        <v>1.78</v>
      </c>
      <c r="G144">
        <v>2.8000000000000001E-2</v>
      </c>
      <c r="H144" t="s">
        <v>357</v>
      </c>
      <c r="I144">
        <v>1.6</v>
      </c>
      <c r="J144">
        <v>905</v>
      </c>
      <c r="K144" t="s">
        <v>319</v>
      </c>
      <c r="L144" s="145">
        <v>0.52400000000000002</v>
      </c>
      <c r="M144" s="85">
        <f t="shared" si="7"/>
        <v>0.9327200000000001</v>
      </c>
    </row>
    <row r="145" spans="1:13" x14ac:dyDescent="0.2">
      <c r="A145" t="s">
        <v>338</v>
      </c>
      <c r="L145" s="85"/>
      <c r="M145" s="85"/>
    </row>
    <row r="146" spans="1:13" x14ac:dyDescent="0.2">
      <c r="A146" t="s">
        <v>339</v>
      </c>
      <c r="B146" t="s">
        <v>216</v>
      </c>
      <c r="L146" s="85"/>
      <c r="M146" s="85"/>
    </row>
    <row r="147" spans="1:13" x14ac:dyDescent="0.2">
      <c r="A147" t="s">
        <v>341</v>
      </c>
      <c r="B147" t="s">
        <v>342</v>
      </c>
      <c r="C147" t="s">
        <v>343</v>
      </c>
      <c r="D147" t="s">
        <v>369</v>
      </c>
      <c r="L147" s="85"/>
      <c r="M147" s="85"/>
    </row>
    <row r="148" spans="1:13" x14ac:dyDescent="0.2">
      <c r="A148" t="s">
        <v>345</v>
      </c>
      <c r="L148" s="85"/>
      <c r="M148" s="85"/>
    </row>
    <row r="149" spans="1:13" x14ac:dyDescent="0.2">
      <c r="A149" t="s">
        <v>346</v>
      </c>
      <c r="L149" s="85"/>
      <c r="M149" s="85"/>
    </row>
    <row r="150" spans="1:13" x14ac:dyDescent="0.2">
      <c r="A150" t="s">
        <v>347</v>
      </c>
      <c r="B150" t="s">
        <v>348</v>
      </c>
      <c r="C150" t="s">
        <v>349</v>
      </c>
      <c r="D150" t="s">
        <v>350</v>
      </c>
      <c r="E150" t="s">
        <v>351</v>
      </c>
      <c r="F150" t="s">
        <v>352</v>
      </c>
      <c r="G150" t="s">
        <v>353</v>
      </c>
      <c r="H150" t="s">
        <v>314</v>
      </c>
      <c r="I150" t="s">
        <v>351</v>
      </c>
      <c r="J150" t="s">
        <v>354</v>
      </c>
      <c r="K150" t="s">
        <v>355</v>
      </c>
      <c r="L150" s="85" t="s">
        <v>423</v>
      </c>
      <c r="M150" s="85" t="s">
        <v>424</v>
      </c>
    </row>
    <row r="151" spans="1:13" x14ac:dyDescent="0.2">
      <c r="A151" t="s">
        <v>356</v>
      </c>
      <c r="B151" t="s">
        <v>2</v>
      </c>
      <c r="C151">
        <v>57</v>
      </c>
      <c r="D151">
        <v>220594.2</v>
      </c>
      <c r="E151">
        <v>0.9</v>
      </c>
      <c r="F151">
        <v>230.57</v>
      </c>
      <c r="G151">
        <v>2.601</v>
      </c>
      <c r="H151" t="s">
        <v>357</v>
      </c>
      <c r="I151">
        <v>1.1000000000000001</v>
      </c>
      <c r="J151">
        <v>45113</v>
      </c>
      <c r="K151" t="s">
        <v>319</v>
      </c>
      <c r="L151" s="85"/>
      <c r="M151" s="85"/>
    </row>
    <row r="152" spans="1:13" x14ac:dyDescent="0.2">
      <c r="A152" t="s">
        <v>356</v>
      </c>
      <c r="B152" t="s">
        <v>1</v>
      </c>
      <c r="C152">
        <v>27</v>
      </c>
      <c r="D152">
        <v>3111193.5</v>
      </c>
      <c r="E152">
        <v>1</v>
      </c>
      <c r="F152">
        <v>155.62</v>
      </c>
      <c r="G152">
        <v>1.6339999999999999</v>
      </c>
      <c r="H152" t="s">
        <v>357</v>
      </c>
      <c r="I152">
        <v>1</v>
      </c>
      <c r="J152">
        <v>7344</v>
      </c>
      <c r="K152" t="s">
        <v>319</v>
      </c>
      <c r="L152" s="85"/>
      <c r="M152" s="85"/>
    </row>
    <row r="153" spans="1:13" x14ac:dyDescent="0.2">
      <c r="A153" t="s">
        <v>356</v>
      </c>
      <c r="B153" t="s">
        <v>227</v>
      </c>
      <c r="C153">
        <v>53</v>
      </c>
      <c r="D153">
        <v>4368</v>
      </c>
      <c r="E153">
        <v>16.399999999999999</v>
      </c>
      <c r="F153">
        <v>1.53</v>
      </c>
      <c r="G153">
        <v>0.26600000000000001</v>
      </c>
      <c r="H153" t="s">
        <v>357</v>
      </c>
      <c r="I153">
        <v>17.399999999999999</v>
      </c>
      <c r="J153">
        <v>245</v>
      </c>
      <c r="K153" t="s">
        <v>319</v>
      </c>
      <c r="L153" s="85"/>
      <c r="M153" s="85"/>
    </row>
    <row r="154" spans="1:13" x14ac:dyDescent="0.2">
      <c r="A154" t="s">
        <v>356</v>
      </c>
      <c r="B154" t="s">
        <v>228</v>
      </c>
      <c r="C154">
        <v>55</v>
      </c>
      <c r="D154">
        <v>2163840.5</v>
      </c>
      <c r="E154">
        <v>0.4</v>
      </c>
      <c r="F154">
        <v>58.04</v>
      </c>
      <c r="G154">
        <v>0.23200000000000001</v>
      </c>
      <c r="H154" t="s">
        <v>357</v>
      </c>
      <c r="I154">
        <v>0.4</v>
      </c>
      <c r="J154">
        <v>1061</v>
      </c>
      <c r="K154" t="s">
        <v>319</v>
      </c>
      <c r="L154" s="85"/>
      <c r="M154" s="85"/>
    </row>
    <row r="155" spans="1:13" x14ac:dyDescent="0.2">
      <c r="A155" t="s">
        <v>356</v>
      </c>
      <c r="B155" t="s">
        <v>229</v>
      </c>
      <c r="C155">
        <v>63</v>
      </c>
      <c r="D155">
        <v>41247.1</v>
      </c>
      <c r="E155">
        <v>0.1</v>
      </c>
      <c r="F155">
        <v>2.85</v>
      </c>
      <c r="G155">
        <v>3.0000000000000001E-3</v>
      </c>
      <c r="H155" t="s">
        <v>357</v>
      </c>
      <c r="I155">
        <v>0.1</v>
      </c>
      <c r="J155">
        <v>350</v>
      </c>
      <c r="K155" t="s">
        <v>319</v>
      </c>
      <c r="L155" s="85"/>
      <c r="M155" s="85"/>
    </row>
    <row r="156" spans="1:13" x14ac:dyDescent="0.2">
      <c r="A156" t="s">
        <v>356</v>
      </c>
      <c r="B156" t="s">
        <v>230</v>
      </c>
      <c r="C156">
        <v>66</v>
      </c>
      <c r="D156">
        <v>3482.1</v>
      </c>
      <c r="E156">
        <v>1.4</v>
      </c>
      <c r="F156">
        <v>0.96</v>
      </c>
      <c r="G156">
        <v>1.4999999999999999E-2</v>
      </c>
      <c r="H156" t="s">
        <v>357</v>
      </c>
      <c r="I156">
        <v>1.5</v>
      </c>
      <c r="J156">
        <v>215</v>
      </c>
      <c r="K156" t="s">
        <v>319</v>
      </c>
      <c r="L156" s="85"/>
      <c r="M156" s="85"/>
    </row>
    <row r="157" spans="1:13" x14ac:dyDescent="0.2">
      <c r="A157" t="s">
        <v>356</v>
      </c>
      <c r="B157" t="s">
        <v>231</v>
      </c>
      <c r="C157">
        <v>75</v>
      </c>
      <c r="D157">
        <v>2596.6</v>
      </c>
      <c r="E157">
        <v>4.5999999999999996</v>
      </c>
      <c r="F157">
        <v>0.8</v>
      </c>
      <c r="G157">
        <v>3.6999999999999998E-2</v>
      </c>
      <c r="H157" t="s">
        <v>357</v>
      </c>
      <c r="I157">
        <v>4.7</v>
      </c>
      <c r="J157">
        <v>16</v>
      </c>
      <c r="K157" t="s">
        <v>319</v>
      </c>
      <c r="L157" s="85"/>
      <c r="M157" s="85"/>
    </row>
    <row r="158" spans="1:13" x14ac:dyDescent="0.2">
      <c r="A158" t="s">
        <v>356</v>
      </c>
      <c r="B158" t="s">
        <v>232</v>
      </c>
      <c r="C158">
        <v>111</v>
      </c>
      <c r="D158">
        <v>91</v>
      </c>
      <c r="E158">
        <v>1.9</v>
      </c>
      <c r="F158">
        <v>0.02</v>
      </c>
      <c r="G158">
        <v>0</v>
      </c>
      <c r="H158" t="s">
        <v>357</v>
      </c>
      <c r="I158">
        <v>2.1</v>
      </c>
      <c r="J158">
        <v>8</v>
      </c>
      <c r="K158" t="s">
        <v>319</v>
      </c>
      <c r="L158" s="85"/>
      <c r="M158" s="85"/>
    </row>
    <row r="159" spans="1:13" x14ac:dyDescent="0.2">
      <c r="A159" t="s">
        <v>356</v>
      </c>
      <c r="B159" t="s">
        <v>233</v>
      </c>
      <c r="C159">
        <v>118</v>
      </c>
      <c r="D159">
        <v>474.3</v>
      </c>
      <c r="E159">
        <v>4.3</v>
      </c>
      <c r="F159">
        <v>0.03</v>
      </c>
      <c r="G159">
        <v>2E-3</v>
      </c>
      <c r="H159" t="s">
        <v>357</v>
      </c>
      <c r="I159">
        <v>5.3</v>
      </c>
      <c r="J159">
        <v>91</v>
      </c>
      <c r="K159" t="s">
        <v>319</v>
      </c>
      <c r="L159" s="85"/>
      <c r="M159" s="85"/>
    </row>
    <row r="160" spans="1:13" x14ac:dyDescent="0.2">
      <c r="A160" t="s">
        <v>356</v>
      </c>
      <c r="B160" t="s">
        <v>234</v>
      </c>
      <c r="C160">
        <v>206</v>
      </c>
      <c r="D160">
        <v>2212.5</v>
      </c>
      <c r="E160">
        <v>0.8</v>
      </c>
      <c r="F160">
        <v>0.19</v>
      </c>
      <c r="G160">
        <v>2E-3</v>
      </c>
      <c r="H160" t="s">
        <v>357</v>
      </c>
      <c r="I160">
        <v>1</v>
      </c>
      <c r="J160">
        <v>405</v>
      </c>
      <c r="K160" t="s">
        <v>319</v>
      </c>
      <c r="L160" s="145">
        <v>0.24099999999999999</v>
      </c>
      <c r="M160" s="85">
        <f>F160*L160</f>
        <v>4.5789999999999997E-2</v>
      </c>
    </row>
    <row r="161" spans="1:13" x14ac:dyDescent="0.2">
      <c r="A161" t="s">
        <v>356</v>
      </c>
      <c r="B161" t="s">
        <v>234</v>
      </c>
      <c r="C161">
        <v>207</v>
      </c>
      <c r="D161">
        <v>1927.1</v>
      </c>
      <c r="E161">
        <v>2.9</v>
      </c>
      <c r="F161">
        <v>0.21</v>
      </c>
      <c r="G161">
        <v>7.0000000000000001E-3</v>
      </c>
      <c r="H161" t="s">
        <v>357</v>
      </c>
      <c r="I161">
        <v>3.6</v>
      </c>
      <c r="J161">
        <v>377</v>
      </c>
      <c r="K161" t="s">
        <v>319</v>
      </c>
      <c r="L161" s="145">
        <v>0.221</v>
      </c>
      <c r="M161" s="85">
        <f t="shared" ref="M161:M162" si="8">F161*L161</f>
        <v>4.641E-2</v>
      </c>
    </row>
    <row r="162" spans="1:13" x14ac:dyDescent="0.2">
      <c r="A162" t="s">
        <v>356</v>
      </c>
      <c r="B162" t="s">
        <v>234</v>
      </c>
      <c r="C162">
        <v>208</v>
      </c>
      <c r="D162">
        <v>4712.1000000000004</v>
      </c>
      <c r="E162">
        <v>2.8</v>
      </c>
      <c r="F162">
        <v>0.21</v>
      </c>
      <c r="G162">
        <v>7.0000000000000001E-3</v>
      </c>
      <c r="H162" t="s">
        <v>357</v>
      </c>
      <c r="I162">
        <v>3.4</v>
      </c>
      <c r="J162">
        <v>905</v>
      </c>
      <c r="K162" t="s">
        <v>319</v>
      </c>
      <c r="L162" s="145">
        <v>0.52400000000000002</v>
      </c>
      <c r="M162" s="85">
        <f t="shared" si="8"/>
        <v>0.11004</v>
      </c>
    </row>
    <row r="163" spans="1:13" x14ac:dyDescent="0.2">
      <c r="A163" t="s">
        <v>338</v>
      </c>
      <c r="M163" s="85"/>
    </row>
    <row r="164" spans="1:13" x14ac:dyDescent="0.2">
      <c r="A164" t="s">
        <v>339</v>
      </c>
      <c r="B164" t="s">
        <v>217</v>
      </c>
      <c r="M164" s="85"/>
    </row>
    <row r="165" spans="1:13" x14ac:dyDescent="0.2">
      <c r="A165" t="s">
        <v>341</v>
      </c>
      <c r="B165" t="s">
        <v>342</v>
      </c>
      <c r="C165" t="s">
        <v>343</v>
      </c>
      <c r="D165" t="s">
        <v>370</v>
      </c>
      <c r="M165" s="85"/>
    </row>
    <row r="166" spans="1:13" x14ac:dyDescent="0.2">
      <c r="A166" t="s">
        <v>345</v>
      </c>
      <c r="M166" s="85"/>
    </row>
    <row r="167" spans="1:13" x14ac:dyDescent="0.2">
      <c r="A167" t="s">
        <v>346</v>
      </c>
      <c r="M167" s="85"/>
    </row>
    <row r="168" spans="1:13" x14ac:dyDescent="0.2">
      <c r="A168" t="s">
        <v>347</v>
      </c>
      <c r="B168" t="s">
        <v>348</v>
      </c>
      <c r="C168" t="s">
        <v>349</v>
      </c>
      <c r="D168" t="s">
        <v>350</v>
      </c>
      <c r="E168" t="s">
        <v>351</v>
      </c>
      <c r="F168" t="s">
        <v>352</v>
      </c>
      <c r="G168" t="s">
        <v>353</v>
      </c>
      <c r="H168" t="s">
        <v>314</v>
      </c>
      <c r="I168" t="s">
        <v>351</v>
      </c>
      <c r="J168" t="s">
        <v>354</v>
      </c>
      <c r="K168" t="s">
        <v>355</v>
      </c>
      <c r="L168" s="85" t="s">
        <v>423</v>
      </c>
      <c r="M168" s="85" t="s">
        <v>424</v>
      </c>
    </row>
    <row r="169" spans="1:13" x14ac:dyDescent="0.2">
      <c r="A169" t="s">
        <v>356</v>
      </c>
      <c r="B169" t="s">
        <v>2</v>
      </c>
      <c r="C169">
        <v>57</v>
      </c>
      <c r="D169">
        <v>163272.6</v>
      </c>
      <c r="E169">
        <v>1.6</v>
      </c>
      <c r="F169">
        <v>155.25</v>
      </c>
      <c r="G169">
        <v>3.4849999999999999</v>
      </c>
      <c r="H169" t="s">
        <v>357</v>
      </c>
      <c r="I169">
        <v>2.2000000000000002</v>
      </c>
      <c r="J169">
        <v>45113</v>
      </c>
      <c r="K169" t="s">
        <v>319</v>
      </c>
      <c r="L169" s="85"/>
      <c r="M169" s="85"/>
    </row>
    <row r="170" spans="1:13" x14ac:dyDescent="0.2">
      <c r="A170" t="s">
        <v>356</v>
      </c>
      <c r="B170" t="s">
        <v>1</v>
      </c>
      <c r="C170">
        <v>27</v>
      </c>
      <c r="D170">
        <v>1834077.6</v>
      </c>
      <c r="E170">
        <v>1.9</v>
      </c>
      <c r="F170">
        <v>91.59</v>
      </c>
      <c r="G170">
        <v>1.714</v>
      </c>
      <c r="H170" t="s">
        <v>357</v>
      </c>
      <c r="I170">
        <v>1.9</v>
      </c>
      <c r="J170">
        <v>7344</v>
      </c>
      <c r="K170" t="s">
        <v>319</v>
      </c>
      <c r="L170" s="85"/>
      <c r="M170" s="85"/>
    </row>
    <row r="171" spans="1:13" x14ac:dyDescent="0.2">
      <c r="A171" t="s">
        <v>356</v>
      </c>
      <c r="B171" t="s">
        <v>227</v>
      </c>
      <c r="C171">
        <v>53</v>
      </c>
      <c r="D171">
        <v>4475.3999999999996</v>
      </c>
      <c r="E171">
        <v>2</v>
      </c>
      <c r="F171">
        <v>1.57</v>
      </c>
      <c r="G171">
        <v>3.4000000000000002E-2</v>
      </c>
      <c r="H171" t="s">
        <v>357</v>
      </c>
      <c r="I171">
        <v>2.2000000000000002</v>
      </c>
      <c r="J171">
        <v>245</v>
      </c>
      <c r="K171" t="s">
        <v>319</v>
      </c>
      <c r="L171" s="85"/>
      <c r="M171" s="85"/>
    </row>
    <row r="172" spans="1:13" x14ac:dyDescent="0.2">
      <c r="A172" t="s">
        <v>356</v>
      </c>
      <c r="B172" t="s">
        <v>228</v>
      </c>
      <c r="C172">
        <v>55</v>
      </c>
      <c r="D172">
        <v>419757</v>
      </c>
      <c r="E172">
        <v>2.2999999999999998</v>
      </c>
      <c r="F172">
        <v>11.24</v>
      </c>
      <c r="G172">
        <v>0.25900000000000001</v>
      </c>
      <c r="H172" t="s">
        <v>357</v>
      </c>
      <c r="I172">
        <v>2.2999999999999998</v>
      </c>
      <c r="J172">
        <v>1061</v>
      </c>
      <c r="K172" t="s">
        <v>319</v>
      </c>
      <c r="L172" s="85"/>
      <c r="M172" s="85"/>
    </row>
    <row r="173" spans="1:13" x14ac:dyDescent="0.2">
      <c r="A173" t="s">
        <v>356</v>
      </c>
      <c r="B173" t="s">
        <v>229</v>
      </c>
      <c r="C173">
        <v>63</v>
      </c>
      <c r="D173">
        <v>38853.1</v>
      </c>
      <c r="E173">
        <v>0.6</v>
      </c>
      <c r="F173">
        <v>2.68</v>
      </c>
      <c r="G173">
        <v>1.4999999999999999E-2</v>
      </c>
      <c r="H173" t="s">
        <v>357</v>
      </c>
      <c r="I173">
        <v>0.6</v>
      </c>
      <c r="J173">
        <v>350</v>
      </c>
      <c r="K173" t="s">
        <v>319</v>
      </c>
      <c r="L173" s="85"/>
      <c r="M173" s="85"/>
    </row>
    <row r="174" spans="1:13" x14ac:dyDescent="0.2">
      <c r="A174" t="s">
        <v>356</v>
      </c>
      <c r="B174" t="s">
        <v>230</v>
      </c>
      <c r="C174">
        <v>66</v>
      </c>
      <c r="D174">
        <v>4025.6</v>
      </c>
      <c r="E174">
        <v>1.7</v>
      </c>
      <c r="F174">
        <v>1.1100000000000001</v>
      </c>
      <c r="G174">
        <v>0.02</v>
      </c>
      <c r="H174" t="s">
        <v>357</v>
      </c>
      <c r="I174">
        <v>1.8</v>
      </c>
      <c r="J174">
        <v>215</v>
      </c>
      <c r="K174" t="s">
        <v>319</v>
      </c>
      <c r="L174" s="85"/>
      <c r="M174" s="85"/>
    </row>
    <row r="175" spans="1:13" x14ac:dyDescent="0.2">
      <c r="A175" t="s">
        <v>356</v>
      </c>
      <c r="B175" t="s">
        <v>231</v>
      </c>
      <c r="C175">
        <v>75</v>
      </c>
      <c r="D175">
        <v>1615.8</v>
      </c>
      <c r="E175">
        <v>1.1000000000000001</v>
      </c>
      <c r="F175">
        <v>0.5</v>
      </c>
      <c r="G175">
        <v>5.0000000000000001E-3</v>
      </c>
      <c r="H175" t="s">
        <v>357</v>
      </c>
      <c r="I175">
        <v>1.1000000000000001</v>
      </c>
      <c r="J175">
        <v>16</v>
      </c>
      <c r="K175" t="s">
        <v>319</v>
      </c>
      <c r="L175" s="85"/>
      <c r="M175" s="85"/>
    </row>
    <row r="176" spans="1:13" x14ac:dyDescent="0.2">
      <c r="A176" t="s">
        <v>356</v>
      </c>
      <c r="B176" t="s">
        <v>232</v>
      </c>
      <c r="C176">
        <v>111</v>
      </c>
      <c r="D176">
        <v>66</v>
      </c>
      <c r="E176">
        <v>12.4</v>
      </c>
      <c r="F176">
        <v>0.01</v>
      </c>
      <c r="G176">
        <v>2E-3</v>
      </c>
      <c r="H176" t="s">
        <v>357</v>
      </c>
      <c r="I176">
        <v>14</v>
      </c>
      <c r="J176">
        <v>8</v>
      </c>
      <c r="K176" t="s">
        <v>319</v>
      </c>
      <c r="L176" s="85"/>
      <c r="M176" s="85"/>
    </row>
    <row r="177" spans="1:13" x14ac:dyDescent="0.2">
      <c r="A177" t="s">
        <v>356</v>
      </c>
      <c r="B177" t="s">
        <v>233</v>
      </c>
      <c r="C177">
        <v>118</v>
      </c>
      <c r="D177">
        <v>430</v>
      </c>
      <c r="E177">
        <v>3.5</v>
      </c>
      <c r="F177">
        <v>0.03</v>
      </c>
      <c r="G177">
        <v>1E-3</v>
      </c>
      <c r="H177" t="s">
        <v>357</v>
      </c>
      <c r="I177">
        <v>4.5</v>
      </c>
      <c r="J177">
        <v>91</v>
      </c>
      <c r="K177" t="s">
        <v>319</v>
      </c>
      <c r="L177" s="85"/>
      <c r="M177" s="85"/>
    </row>
    <row r="178" spans="1:13" x14ac:dyDescent="0.2">
      <c r="A178" t="s">
        <v>356</v>
      </c>
      <c r="B178" t="s">
        <v>234</v>
      </c>
      <c r="C178">
        <v>206</v>
      </c>
      <c r="D178">
        <v>2034.5</v>
      </c>
      <c r="E178">
        <v>1.2</v>
      </c>
      <c r="F178">
        <v>0.17</v>
      </c>
      <c r="G178">
        <v>3.0000000000000001E-3</v>
      </c>
      <c r="H178" t="s">
        <v>357</v>
      </c>
      <c r="I178">
        <v>1.5</v>
      </c>
      <c r="J178">
        <v>405</v>
      </c>
      <c r="K178" t="s">
        <v>319</v>
      </c>
      <c r="L178" s="145">
        <v>0.24099999999999999</v>
      </c>
      <c r="M178" s="85">
        <f>F178*L178</f>
        <v>4.0969999999999999E-2</v>
      </c>
    </row>
    <row r="179" spans="1:13" x14ac:dyDescent="0.2">
      <c r="A179" t="s">
        <v>356</v>
      </c>
      <c r="B179" t="s">
        <v>234</v>
      </c>
      <c r="C179">
        <v>207</v>
      </c>
      <c r="D179">
        <v>1795.8</v>
      </c>
      <c r="E179">
        <v>0.2</v>
      </c>
      <c r="F179">
        <v>0.19</v>
      </c>
      <c r="G179">
        <v>0</v>
      </c>
      <c r="H179" t="s">
        <v>357</v>
      </c>
      <c r="I179">
        <v>0.2</v>
      </c>
      <c r="J179">
        <v>377</v>
      </c>
      <c r="K179" t="s">
        <v>319</v>
      </c>
      <c r="L179" s="145">
        <v>0.221</v>
      </c>
      <c r="M179" s="85">
        <f t="shared" ref="M179:M180" si="9">F179*L179</f>
        <v>4.199E-2</v>
      </c>
    </row>
    <row r="180" spans="1:13" x14ac:dyDescent="0.2">
      <c r="A180" t="s">
        <v>356</v>
      </c>
      <c r="B180" t="s">
        <v>234</v>
      </c>
      <c r="C180">
        <v>208</v>
      </c>
      <c r="D180">
        <v>4420.7</v>
      </c>
      <c r="E180">
        <v>1.5</v>
      </c>
      <c r="F180">
        <v>0.19</v>
      </c>
      <c r="G180">
        <v>4.0000000000000001E-3</v>
      </c>
      <c r="H180" t="s">
        <v>357</v>
      </c>
      <c r="I180">
        <v>1.9</v>
      </c>
      <c r="J180">
        <v>905</v>
      </c>
      <c r="K180" t="s">
        <v>319</v>
      </c>
      <c r="L180" s="145">
        <v>0.52400000000000002</v>
      </c>
      <c r="M180" s="85">
        <f t="shared" si="9"/>
        <v>9.956000000000001E-2</v>
      </c>
    </row>
    <row r="181" spans="1:13" x14ac:dyDescent="0.2">
      <c r="A181" t="s">
        <v>338</v>
      </c>
      <c r="L181" s="85"/>
      <c r="M181" s="85"/>
    </row>
    <row r="182" spans="1:13" x14ac:dyDescent="0.2">
      <c r="A182" t="s">
        <v>339</v>
      </c>
      <c r="B182" t="s">
        <v>371</v>
      </c>
      <c r="L182" s="85"/>
      <c r="M182" s="85"/>
    </row>
    <row r="183" spans="1:13" x14ac:dyDescent="0.2">
      <c r="A183" t="s">
        <v>341</v>
      </c>
      <c r="B183" t="s">
        <v>342</v>
      </c>
      <c r="C183" t="s">
        <v>343</v>
      </c>
      <c r="D183" t="s">
        <v>372</v>
      </c>
      <c r="L183" s="85"/>
      <c r="M183" s="85"/>
    </row>
    <row r="184" spans="1:13" x14ac:dyDescent="0.2">
      <c r="A184" t="s">
        <v>345</v>
      </c>
      <c r="L184" s="85"/>
      <c r="M184" s="85"/>
    </row>
    <row r="185" spans="1:13" x14ac:dyDescent="0.2">
      <c r="A185" t="s">
        <v>346</v>
      </c>
      <c r="L185" s="85"/>
      <c r="M185" s="85"/>
    </row>
    <row r="186" spans="1:13" x14ac:dyDescent="0.2">
      <c r="A186" t="s">
        <v>347</v>
      </c>
      <c r="B186" t="s">
        <v>348</v>
      </c>
      <c r="C186" t="s">
        <v>349</v>
      </c>
      <c r="D186" t="s">
        <v>350</v>
      </c>
      <c r="E186" t="s">
        <v>351</v>
      </c>
      <c r="F186" t="s">
        <v>352</v>
      </c>
      <c r="G186" t="s">
        <v>353</v>
      </c>
      <c r="H186" t="s">
        <v>314</v>
      </c>
      <c r="I186" t="s">
        <v>351</v>
      </c>
      <c r="J186" t="s">
        <v>354</v>
      </c>
      <c r="K186" t="s">
        <v>355</v>
      </c>
      <c r="L186" s="85" t="s">
        <v>423</v>
      </c>
      <c r="M186" s="85" t="s">
        <v>424</v>
      </c>
    </row>
    <row r="187" spans="1:13" x14ac:dyDescent="0.2">
      <c r="A187" t="s">
        <v>356</v>
      </c>
      <c r="B187" t="s">
        <v>2</v>
      </c>
      <c r="C187">
        <v>57</v>
      </c>
      <c r="D187">
        <v>323759.59999999998</v>
      </c>
      <c r="E187">
        <v>0.1</v>
      </c>
      <c r="F187">
        <v>366.12</v>
      </c>
      <c r="G187">
        <v>0.63400000000000001</v>
      </c>
      <c r="H187" t="s">
        <v>357</v>
      </c>
      <c r="I187">
        <v>0.2</v>
      </c>
      <c r="J187">
        <v>45113</v>
      </c>
      <c r="K187" t="s">
        <v>319</v>
      </c>
      <c r="L187" s="85"/>
      <c r="M187" s="85"/>
    </row>
    <row r="188" spans="1:13" x14ac:dyDescent="0.2">
      <c r="A188" t="s">
        <v>356</v>
      </c>
      <c r="B188" t="s">
        <v>1</v>
      </c>
      <c r="C188">
        <v>27</v>
      </c>
      <c r="D188">
        <v>7373967.7999999998</v>
      </c>
      <c r="E188">
        <v>1</v>
      </c>
      <c r="F188">
        <v>369.34</v>
      </c>
      <c r="G188">
        <v>3.8780000000000001</v>
      </c>
      <c r="H188" t="s">
        <v>357</v>
      </c>
      <c r="I188">
        <v>1</v>
      </c>
      <c r="J188">
        <v>7344</v>
      </c>
      <c r="K188" t="s">
        <v>319</v>
      </c>
      <c r="L188" s="85"/>
      <c r="M188" s="85"/>
    </row>
    <row r="189" spans="1:13" x14ac:dyDescent="0.2">
      <c r="A189" t="s">
        <v>356</v>
      </c>
      <c r="B189" t="s">
        <v>227</v>
      </c>
      <c r="C189">
        <v>53</v>
      </c>
      <c r="D189">
        <v>20905</v>
      </c>
      <c r="E189">
        <v>2.5</v>
      </c>
      <c r="F189">
        <v>7.69</v>
      </c>
      <c r="G189">
        <v>0.192</v>
      </c>
      <c r="H189" t="s">
        <v>357</v>
      </c>
      <c r="I189">
        <v>2.5</v>
      </c>
      <c r="J189">
        <v>245</v>
      </c>
      <c r="K189" t="s">
        <v>319</v>
      </c>
      <c r="L189" s="85"/>
      <c r="M189" s="85"/>
    </row>
    <row r="190" spans="1:13" x14ac:dyDescent="0.2">
      <c r="A190" t="s">
        <v>356</v>
      </c>
      <c r="B190" t="s">
        <v>228</v>
      </c>
      <c r="C190">
        <v>55</v>
      </c>
      <c r="D190">
        <v>1369856.2</v>
      </c>
      <c r="E190">
        <v>1</v>
      </c>
      <c r="F190">
        <v>36.729999999999997</v>
      </c>
      <c r="G190">
        <v>0.36199999999999999</v>
      </c>
      <c r="H190" t="s">
        <v>357</v>
      </c>
      <c r="I190">
        <v>1</v>
      </c>
      <c r="J190">
        <v>1061</v>
      </c>
      <c r="K190" t="s">
        <v>319</v>
      </c>
      <c r="L190" s="85"/>
      <c r="M190" s="85"/>
    </row>
    <row r="191" spans="1:13" x14ac:dyDescent="0.2">
      <c r="A191" t="s">
        <v>356</v>
      </c>
      <c r="B191" t="s">
        <v>229</v>
      </c>
      <c r="C191">
        <v>63</v>
      </c>
      <c r="D191">
        <v>533034.9</v>
      </c>
      <c r="E191">
        <v>0.7</v>
      </c>
      <c r="F191">
        <v>37.14</v>
      </c>
      <c r="G191">
        <v>0.253</v>
      </c>
      <c r="H191" t="s">
        <v>357</v>
      </c>
      <c r="I191">
        <v>0.7</v>
      </c>
      <c r="J191">
        <v>350</v>
      </c>
      <c r="K191" t="s">
        <v>319</v>
      </c>
      <c r="L191" s="85"/>
      <c r="M191" s="85"/>
    </row>
    <row r="192" spans="1:13" x14ac:dyDescent="0.2">
      <c r="A192" t="s">
        <v>356</v>
      </c>
      <c r="B192" t="s">
        <v>230</v>
      </c>
      <c r="C192">
        <v>66</v>
      </c>
      <c r="D192">
        <v>124538.9</v>
      </c>
      <c r="E192">
        <v>1.5</v>
      </c>
      <c r="F192">
        <v>36.35</v>
      </c>
      <c r="G192">
        <v>0.55800000000000005</v>
      </c>
      <c r="H192" t="s">
        <v>357</v>
      </c>
      <c r="I192">
        <v>1.5</v>
      </c>
      <c r="J192">
        <v>215</v>
      </c>
      <c r="K192" t="s">
        <v>319</v>
      </c>
      <c r="L192" s="85"/>
      <c r="M192" s="85"/>
    </row>
    <row r="193" spans="1:13" x14ac:dyDescent="0.2">
      <c r="A193" t="s">
        <v>356</v>
      </c>
      <c r="B193" t="s">
        <v>231</v>
      </c>
      <c r="C193">
        <v>75</v>
      </c>
      <c r="D193">
        <v>23359.1</v>
      </c>
      <c r="E193">
        <v>1.4</v>
      </c>
      <c r="F193">
        <v>7.25</v>
      </c>
      <c r="G193">
        <v>0.10199999999999999</v>
      </c>
      <c r="H193" t="s">
        <v>357</v>
      </c>
      <c r="I193">
        <v>1.4</v>
      </c>
      <c r="J193">
        <v>16</v>
      </c>
      <c r="K193" t="s">
        <v>319</v>
      </c>
      <c r="L193" s="85"/>
      <c r="M193" s="85"/>
    </row>
    <row r="194" spans="1:13" x14ac:dyDescent="0.2">
      <c r="A194" t="s">
        <v>356</v>
      </c>
      <c r="B194" t="s">
        <v>232</v>
      </c>
      <c r="C194">
        <v>111</v>
      </c>
      <c r="D194">
        <v>31678.799999999999</v>
      </c>
      <c r="E194">
        <v>0.4</v>
      </c>
      <c r="F194">
        <v>7.37</v>
      </c>
      <c r="G194">
        <v>2.8000000000000001E-2</v>
      </c>
      <c r="H194" t="s">
        <v>357</v>
      </c>
      <c r="I194">
        <v>0.4</v>
      </c>
      <c r="J194">
        <v>8</v>
      </c>
      <c r="K194" t="s">
        <v>319</v>
      </c>
      <c r="L194" s="85"/>
      <c r="M194" s="85"/>
    </row>
    <row r="195" spans="1:13" x14ac:dyDescent="0.2">
      <c r="A195" t="s">
        <v>356</v>
      </c>
      <c r="B195" t="s">
        <v>233</v>
      </c>
      <c r="C195">
        <v>118</v>
      </c>
      <c r="D195">
        <v>89967.8</v>
      </c>
      <c r="E195">
        <v>0.8</v>
      </c>
      <c r="F195">
        <v>7.4</v>
      </c>
      <c r="G195">
        <v>5.8999999999999997E-2</v>
      </c>
      <c r="H195" t="s">
        <v>357</v>
      </c>
      <c r="I195">
        <v>0.8</v>
      </c>
      <c r="J195">
        <v>91</v>
      </c>
      <c r="K195" t="s">
        <v>319</v>
      </c>
      <c r="L195" s="85"/>
      <c r="M195" s="85"/>
    </row>
    <row r="196" spans="1:13" x14ac:dyDescent="0.2">
      <c r="A196" t="s">
        <v>356</v>
      </c>
      <c r="B196" t="s">
        <v>234</v>
      </c>
      <c r="C196">
        <v>206</v>
      </c>
      <c r="D196">
        <v>76597.5</v>
      </c>
      <c r="E196">
        <v>0.6</v>
      </c>
      <c r="F196">
        <v>7.94</v>
      </c>
      <c r="G196">
        <v>5.1999999999999998E-2</v>
      </c>
      <c r="H196" t="s">
        <v>357</v>
      </c>
      <c r="I196">
        <v>0.7</v>
      </c>
      <c r="J196">
        <v>405</v>
      </c>
      <c r="K196" t="s">
        <v>319</v>
      </c>
      <c r="L196" s="145">
        <v>0.24099999999999999</v>
      </c>
      <c r="M196" s="85">
        <f>F196*L196</f>
        <v>1.91354</v>
      </c>
    </row>
    <row r="197" spans="1:13" x14ac:dyDescent="0.2">
      <c r="A197" t="s">
        <v>356</v>
      </c>
      <c r="B197" t="s">
        <v>234</v>
      </c>
      <c r="C197">
        <v>207</v>
      </c>
      <c r="D197">
        <v>58561.5</v>
      </c>
      <c r="E197">
        <v>0.9</v>
      </c>
      <c r="F197">
        <v>7.89</v>
      </c>
      <c r="G197">
        <v>7.4999999999999997E-2</v>
      </c>
      <c r="H197" t="s">
        <v>357</v>
      </c>
      <c r="I197">
        <v>1</v>
      </c>
      <c r="J197">
        <v>377</v>
      </c>
      <c r="K197" t="s">
        <v>319</v>
      </c>
      <c r="L197" s="145">
        <v>0.221</v>
      </c>
      <c r="M197" s="85">
        <f t="shared" ref="M197:M198" si="10">F197*L197</f>
        <v>1.74369</v>
      </c>
    </row>
    <row r="198" spans="1:13" x14ac:dyDescent="0.2">
      <c r="A198" t="s">
        <v>356</v>
      </c>
      <c r="B198" t="s">
        <v>234</v>
      </c>
      <c r="C198">
        <v>208</v>
      </c>
      <c r="D198">
        <v>147482.70000000001</v>
      </c>
      <c r="E198">
        <v>0.7</v>
      </c>
      <c r="F198">
        <v>7.9</v>
      </c>
      <c r="G198">
        <v>5.8999999999999997E-2</v>
      </c>
      <c r="H198" t="s">
        <v>357</v>
      </c>
      <c r="I198">
        <v>0.7</v>
      </c>
      <c r="J198">
        <v>905</v>
      </c>
      <c r="K198" t="s">
        <v>319</v>
      </c>
      <c r="L198" s="145">
        <v>0.52400000000000002</v>
      </c>
      <c r="M198" s="85">
        <f t="shared" si="10"/>
        <v>4.1396000000000006</v>
      </c>
    </row>
    <row r="199" spans="1:13" x14ac:dyDescent="0.2">
      <c r="A199" t="s">
        <v>338</v>
      </c>
      <c r="L199" s="85"/>
      <c r="M199" s="85"/>
    </row>
    <row r="200" spans="1:13" x14ac:dyDescent="0.2">
      <c r="A200" t="s">
        <v>339</v>
      </c>
      <c r="B200" t="s">
        <v>218</v>
      </c>
      <c r="L200" s="85"/>
      <c r="M200" s="85"/>
    </row>
    <row r="201" spans="1:13" x14ac:dyDescent="0.2">
      <c r="A201" t="s">
        <v>341</v>
      </c>
      <c r="B201" t="s">
        <v>342</v>
      </c>
      <c r="C201" t="s">
        <v>343</v>
      </c>
      <c r="D201" t="s">
        <v>373</v>
      </c>
      <c r="L201" s="85"/>
      <c r="M201" s="85"/>
    </row>
    <row r="202" spans="1:13" x14ac:dyDescent="0.2">
      <c r="A202" t="s">
        <v>345</v>
      </c>
      <c r="L202" s="85"/>
      <c r="M202" s="85"/>
    </row>
    <row r="203" spans="1:13" x14ac:dyDescent="0.2">
      <c r="A203" t="s">
        <v>346</v>
      </c>
      <c r="L203" s="85"/>
      <c r="M203" s="85"/>
    </row>
    <row r="204" spans="1:13" x14ac:dyDescent="0.2">
      <c r="A204" t="s">
        <v>347</v>
      </c>
      <c r="B204" t="s">
        <v>348</v>
      </c>
      <c r="C204" t="s">
        <v>349</v>
      </c>
      <c r="D204" t="s">
        <v>350</v>
      </c>
      <c r="E204" t="s">
        <v>351</v>
      </c>
      <c r="F204" t="s">
        <v>352</v>
      </c>
      <c r="G204" t="s">
        <v>353</v>
      </c>
      <c r="H204" t="s">
        <v>314</v>
      </c>
      <c r="I204" t="s">
        <v>351</v>
      </c>
      <c r="J204" t="s">
        <v>354</v>
      </c>
      <c r="K204" t="s">
        <v>355</v>
      </c>
      <c r="L204" s="85" t="s">
        <v>423</v>
      </c>
      <c r="M204" s="85" t="s">
        <v>424</v>
      </c>
    </row>
    <row r="205" spans="1:13" x14ac:dyDescent="0.2">
      <c r="A205" t="s">
        <v>356</v>
      </c>
      <c r="B205" t="s">
        <v>2</v>
      </c>
      <c r="C205">
        <v>57</v>
      </c>
      <c r="D205">
        <v>133123.79999999999</v>
      </c>
      <c r="E205">
        <v>0.9</v>
      </c>
      <c r="F205">
        <v>115.64</v>
      </c>
      <c r="G205">
        <v>1.496</v>
      </c>
      <c r="H205" t="s">
        <v>357</v>
      </c>
      <c r="I205">
        <v>1.3</v>
      </c>
      <c r="J205">
        <v>45113</v>
      </c>
      <c r="K205" t="s">
        <v>319</v>
      </c>
      <c r="L205" s="85"/>
      <c r="M205" s="85"/>
    </row>
    <row r="206" spans="1:13" x14ac:dyDescent="0.2">
      <c r="A206" t="s">
        <v>356</v>
      </c>
      <c r="B206" t="s">
        <v>1</v>
      </c>
      <c r="C206">
        <v>27</v>
      </c>
      <c r="D206">
        <v>987106.4</v>
      </c>
      <c r="E206">
        <v>0.1</v>
      </c>
      <c r="F206">
        <v>49.12</v>
      </c>
      <c r="G206">
        <v>2.8000000000000001E-2</v>
      </c>
      <c r="H206" t="s">
        <v>357</v>
      </c>
      <c r="I206">
        <v>0.1</v>
      </c>
      <c r="J206">
        <v>7344</v>
      </c>
      <c r="K206" t="s">
        <v>319</v>
      </c>
      <c r="L206" s="85"/>
      <c r="M206" s="85"/>
    </row>
    <row r="207" spans="1:13" x14ac:dyDescent="0.2">
      <c r="A207" t="s">
        <v>356</v>
      </c>
      <c r="B207" t="s">
        <v>227</v>
      </c>
      <c r="C207">
        <v>53</v>
      </c>
      <c r="D207">
        <v>3804.2</v>
      </c>
      <c r="E207">
        <v>1.5</v>
      </c>
      <c r="F207">
        <v>1.32</v>
      </c>
      <c r="G207">
        <v>2.1000000000000001E-2</v>
      </c>
      <c r="H207" t="s">
        <v>357</v>
      </c>
      <c r="I207">
        <v>1.6</v>
      </c>
      <c r="J207">
        <v>245</v>
      </c>
      <c r="K207" t="s">
        <v>319</v>
      </c>
      <c r="L207" s="85"/>
      <c r="M207" s="85"/>
    </row>
    <row r="208" spans="1:13" x14ac:dyDescent="0.2">
      <c r="A208" t="s">
        <v>356</v>
      </c>
      <c r="B208" t="s">
        <v>228</v>
      </c>
      <c r="C208">
        <v>55</v>
      </c>
      <c r="D208">
        <v>1500199.6</v>
      </c>
      <c r="E208">
        <v>0</v>
      </c>
      <c r="F208">
        <v>40.229999999999997</v>
      </c>
      <c r="G208">
        <v>1.7000000000000001E-2</v>
      </c>
      <c r="H208" t="s">
        <v>357</v>
      </c>
      <c r="I208">
        <v>0</v>
      </c>
      <c r="J208">
        <v>1061</v>
      </c>
      <c r="K208" t="s">
        <v>319</v>
      </c>
      <c r="L208" s="85"/>
      <c r="M208" s="85"/>
    </row>
    <row r="209" spans="1:13" x14ac:dyDescent="0.2">
      <c r="A209" t="s">
        <v>356</v>
      </c>
      <c r="B209" t="s">
        <v>229</v>
      </c>
      <c r="C209">
        <v>63</v>
      </c>
      <c r="D209">
        <v>28733.5</v>
      </c>
      <c r="E209">
        <v>1.2</v>
      </c>
      <c r="F209">
        <v>1.98</v>
      </c>
      <c r="G209">
        <v>2.4E-2</v>
      </c>
      <c r="H209" t="s">
        <v>357</v>
      </c>
      <c r="I209">
        <v>1.2</v>
      </c>
      <c r="J209">
        <v>350</v>
      </c>
      <c r="K209" t="s">
        <v>319</v>
      </c>
      <c r="L209" s="85"/>
      <c r="M209" s="85"/>
    </row>
    <row r="210" spans="1:13" x14ac:dyDescent="0.2">
      <c r="A210" t="s">
        <v>356</v>
      </c>
      <c r="B210" t="s">
        <v>230</v>
      </c>
      <c r="C210">
        <v>66</v>
      </c>
      <c r="D210">
        <v>4965.5</v>
      </c>
      <c r="E210">
        <v>1.2</v>
      </c>
      <c r="F210">
        <v>1.39</v>
      </c>
      <c r="G210">
        <v>1.7999999999999999E-2</v>
      </c>
      <c r="H210" t="s">
        <v>357</v>
      </c>
      <c r="I210">
        <v>1.3</v>
      </c>
      <c r="J210">
        <v>215</v>
      </c>
      <c r="K210" t="s">
        <v>319</v>
      </c>
      <c r="L210" s="85"/>
      <c r="M210" s="85"/>
    </row>
    <row r="211" spans="1:13" x14ac:dyDescent="0.2">
      <c r="A211" t="s">
        <v>356</v>
      </c>
      <c r="B211" t="s">
        <v>231</v>
      </c>
      <c r="C211">
        <v>75</v>
      </c>
      <c r="D211">
        <v>2325.9</v>
      </c>
      <c r="E211">
        <v>2.2000000000000002</v>
      </c>
      <c r="F211">
        <v>0.72</v>
      </c>
      <c r="G211">
        <v>1.6E-2</v>
      </c>
      <c r="H211" t="s">
        <v>357</v>
      </c>
      <c r="I211">
        <v>2.2000000000000002</v>
      </c>
      <c r="J211">
        <v>16</v>
      </c>
      <c r="K211" t="s">
        <v>319</v>
      </c>
      <c r="L211" s="85"/>
      <c r="M211" s="85"/>
    </row>
    <row r="212" spans="1:13" x14ac:dyDescent="0.2">
      <c r="A212" t="s">
        <v>356</v>
      </c>
      <c r="B212" t="s">
        <v>232</v>
      </c>
      <c r="C212">
        <v>111</v>
      </c>
      <c r="D212">
        <v>48.7</v>
      </c>
      <c r="E212">
        <v>8.6</v>
      </c>
      <c r="F212">
        <v>0.01</v>
      </c>
      <c r="G212">
        <v>1E-3</v>
      </c>
      <c r="H212" t="s">
        <v>357</v>
      </c>
      <c r="I212">
        <v>10.199999999999999</v>
      </c>
      <c r="J212">
        <v>8</v>
      </c>
      <c r="K212" t="s">
        <v>319</v>
      </c>
      <c r="L212" s="85"/>
      <c r="M212" s="85"/>
    </row>
    <row r="213" spans="1:13" x14ac:dyDescent="0.2">
      <c r="A213" t="s">
        <v>356</v>
      </c>
      <c r="B213" t="s">
        <v>233</v>
      </c>
      <c r="C213">
        <v>118</v>
      </c>
      <c r="D213">
        <v>487.3</v>
      </c>
      <c r="E213">
        <v>5.7</v>
      </c>
      <c r="F213">
        <v>0.03</v>
      </c>
      <c r="G213">
        <v>2E-3</v>
      </c>
      <c r="H213" t="s">
        <v>357</v>
      </c>
      <c r="I213">
        <v>7</v>
      </c>
      <c r="J213">
        <v>91</v>
      </c>
      <c r="K213" t="s">
        <v>319</v>
      </c>
      <c r="L213" s="85"/>
      <c r="M213" s="85"/>
    </row>
    <row r="214" spans="1:13" x14ac:dyDescent="0.2">
      <c r="A214" t="s">
        <v>356</v>
      </c>
      <c r="B214" t="s">
        <v>234</v>
      </c>
      <c r="C214">
        <v>206</v>
      </c>
      <c r="D214">
        <v>1313.7</v>
      </c>
      <c r="E214">
        <v>5.5</v>
      </c>
      <c r="F214">
        <v>0.09</v>
      </c>
      <c r="G214">
        <v>8.0000000000000002E-3</v>
      </c>
      <c r="H214" t="s">
        <v>357</v>
      </c>
      <c r="I214">
        <v>7.9</v>
      </c>
      <c r="J214">
        <v>405</v>
      </c>
      <c r="K214" t="s">
        <v>319</v>
      </c>
      <c r="L214" s="145">
        <v>0.24099999999999999</v>
      </c>
      <c r="M214" s="85">
        <f>F214*L214</f>
        <v>2.1689999999999997E-2</v>
      </c>
    </row>
    <row r="215" spans="1:13" x14ac:dyDescent="0.2">
      <c r="A215" t="s">
        <v>356</v>
      </c>
      <c r="B215" t="s">
        <v>234</v>
      </c>
      <c r="C215">
        <v>207</v>
      </c>
      <c r="D215">
        <v>1159.4000000000001</v>
      </c>
      <c r="E215">
        <v>2.8</v>
      </c>
      <c r="F215">
        <v>0.11</v>
      </c>
      <c r="G215">
        <v>4.0000000000000001E-3</v>
      </c>
      <c r="H215" t="s">
        <v>357</v>
      </c>
      <c r="I215">
        <v>4.2</v>
      </c>
      <c r="J215">
        <v>377</v>
      </c>
      <c r="K215" t="s">
        <v>319</v>
      </c>
      <c r="L215" s="145">
        <v>0.221</v>
      </c>
      <c r="M215" s="85">
        <f t="shared" ref="M215:M216" si="11">F215*L215</f>
        <v>2.4310000000000002E-2</v>
      </c>
    </row>
    <row r="216" spans="1:13" x14ac:dyDescent="0.2">
      <c r="A216" t="s">
        <v>356</v>
      </c>
      <c r="B216" t="s">
        <v>234</v>
      </c>
      <c r="C216">
        <v>208</v>
      </c>
      <c r="D216">
        <v>2822.3</v>
      </c>
      <c r="E216">
        <v>1.7</v>
      </c>
      <c r="F216">
        <v>0.1</v>
      </c>
      <c r="G216">
        <v>3.0000000000000001E-3</v>
      </c>
      <c r="H216" t="s">
        <v>357</v>
      </c>
      <c r="I216">
        <v>2.5</v>
      </c>
      <c r="J216">
        <v>905</v>
      </c>
      <c r="K216" t="s">
        <v>319</v>
      </c>
      <c r="L216" s="145">
        <v>0.52400000000000002</v>
      </c>
      <c r="M216" s="85">
        <f t="shared" si="11"/>
        <v>5.2400000000000002E-2</v>
      </c>
    </row>
    <row r="217" spans="1:13" x14ac:dyDescent="0.2">
      <c r="A217" t="s">
        <v>338</v>
      </c>
    </row>
    <row r="218" spans="1:13" x14ac:dyDescent="0.2">
      <c r="A218" t="s">
        <v>339</v>
      </c>
      <c r="B218" t="s">
        <v>219</v>
      </c>
    </row>
    <row r="219" spans="1:13" x14ac:dyDescent="0.2">
      <c r="A219" t="s">
        <v>341</v>
      </c>
      <c r="B219" t="s">
        <v>342</v>
      </c>
      <c r="C219" t="s">
        <v>343</v>
      </c>
      <c r="D219" t="s">
        <v>374</v>
      </c>
    </row>
    <row r="220" spans="1:13" x14ac:dyDescent="0.2">
      <c r="A220" t="s">
        <v>345</v>
      </c>
    </row>
    <row r="221" spans="1:13" x14ac:dyDescent="0.2">
      <c r="A221" t="s">
        <v>346</v>
      </c>
    </row>
    <row r="222" spans="1:13" x14ac:dyDescent="0.2">
      <c r="A222" t="s">
        <v>347</v>
      </c>
      <c r="B222" t="s">
        <v>348</v>
      </c>
      <c r="C222" t="s">
        <v>349</v>
      </c>
      <c r="D222" t="s">
        <v>350</v>
      </c>
      <c r="E222" t="s">
        <v>351</v>
      </c>
      <c r="F222" t="s">
        <v>352</v>
      </c>
      <c r="G222" t="s">
        <v>353</v>
      </c>
      <c r="H222" t="s">
        <v>314</v>
      </c>
      <c r="I222" t="s">
        <v>351</v>
      </c>
      <c r="J222" t="s">
        <v>354</v>
      </c>
      <c r="K222" t="s">
        <v>355</v>
      </c>
      <c r="L222" s="85" t="s">
        <v>423</v>
      </c>
      <c r="M222" s="85" t="s">
        <v>424</v>
      </c>
    </row>
    <row r="223" spans="1:13" x14ac:dyDescent="0.2">
      <c r="A223" t="s">
        <v>356</v>
      </c>
      <c r="B223" t="s">
        <v>2</v>
      </c>
      <c r="C223">
        <v>57</v>
      </c>
      <c r="D223">
        <v>415740.8</v>
      </c>
      <c r="E223">
        <v>1.5</v>
      </c>
      <c r="F223">
        <v>486.97</v>
      </c>
      <c r="G223">
        <v>7.9450000000000003</v>
      </c>
      <c r="H223" t="s">
        <v>357</v>
      </c>
      <c r="I223">
        <v>1.6</v>
      </c>
      <c r="J223">
        <v>45113</v>
      </c>
      <c r="K223" t="s">
        <v>319</v>
      </c>
      <c r="L223" s="85"/>
      <c r="M223" s="85"/>
    </row>
    <row r="224" spans="1:13" x14ac:dyDescent="0.2">
      <c r="A224" t="s">
        <v>356</v>
      </c>
      <c r="B224" t="s">
        <v>1</v>
      </c>
      <c r="C224">
        <v>27</v>
      </c>
      <c r="D224">
        <v>4107412.3</v>
      </c>
      <c r="E224">
        <v>0.4</v>
      </c>
      <c r="F224">
        <v>205.56</v>
      </c>
      <c r="G224">
        <v>0.80100000000000005</v>
      </c>
      <c r="H224" t="s">
        <v>357</v>
      </c>
      <c r="I224">
        <v>0.4</v>
      </c>
      <c r="J224">
        <v>7344</v>
      </c>
      <c r="K224" t="s">
        <v>319</v>
      </c>
      <c r="L224" s="85"/>
      <c r="M224" s="85"/>
    </row>
    <row r="225" spans="1:13" x14ac:dyDescent="0.2">
      <c r="A225" t="s">
        <v>356</v>
      </c>
      <c r="B225" t="s">
        <v>227</v>
      </c>
      <c r="C225">
        <v>53</v>
      </c>
      <c r="D225">
        <v>3079.7</v>
      </c>
      <c r="E225">
        <v>2.7</v>
      </c>
      <c r="F225">
        <v>1.05</v>
      </c>
      <c r="G225">
        <v>0.03</v>
      </c>
      <c r="H225" t="s">
        <v>357</v>
      </c>
      <c r="I225">
        <v>2.9</v>
      </c>
      <c r="J225">
        <v>245</v>
      </c>
      <c r="K225" t="s">
        <v>319</v>
      </c>
      <c r="L225" s="85"/>
      <c r="M225" s="85"/>
    </row>
    <row r="226" spans="1:13" x14ac:dyDescent="0.2">
      <c r="A226" t="s">
        <v>356</v>
      </c>
      <c r="B226" t="s">
        <v>228</v>
      </c>
      <c r="C226">
        <v>55</v>
      </c>
      <c r="D226">
        <v>1559212.8</v>
      </c>
      <c r="E226">
        <v>0.1</v>
      </c>
      <c r="F226">
        <v>41.81</v>
      </c>
      <c r="G226">
        <v>3.5999999999999997E-2</v>
      </c>
      <c r="H226" t="s">
        <v>357</v>
      </c>
      <c r="I226">
        <v>0.1</v>
      </c>
      <c r="J226">
        <v>1061</v>
      </c>
      <c r="K226" t="s">
        <v>319</v>
      </c>
      <c r="L226" s="85"/>
      <c r="M226" s="85"/>
    </row>
    <row r="227" spans="1:13" x14ac:dyDescent="0.2">
      <c r="A227" t="s">
        <v>356</v>
      </c>
      <c r="B227" t="s">
        <v>229</v>
      </c>
      <c r="C227">
        <v>63</v>
      </c>
      <c r="D227">
        <v>14453.6</v>
      </c>
      <c r="E227">
        <v>0.8</v>
      </c>
      <c r="F227">
        <v>0.98</v>
      </c>
      <c r="G227">
        <v>8.0000000000000002E-3</v>
      </c>
      <c r="H227" t="s">
        <v>357</v>
      </c>
      <c r="I227">
        <v>0.8</v>
      </c>
      <c r="J227">
        <v>350</v>
      </c>
      <c r="K227" t="s">
        <v>319</v>
      </c>
      <c r="L227" s="85"/>
      <c r="M227" s="85"/>
    </row>
    <row r="228" spans="1:13" x14ac:dyDescent="0.2">
      <c r="A228" t="s">
        <v>356</v>
      </c>
      <c r="B228" t="s">
        <v>230</v>
      </c>
      <c r="C228">
        <v>66</v>
      </c>
      <c r="D228">
        <v>10600.3</v>
      </c>
      <c r="E228">
        <v>1.8</v>
      </c>
      <c r="F228">
        <v>3.04</v>
      </c>
      <c r="G228">
        <v>5.6000000000000001E-2</v>
      </c>
      <c r="H228" t="s">
        <v>357</v>
      </c>
      <c r="I228">
        <v>1.9</v>
      </c>
      <c r="J228">
        <v>215</v>
      </c>
      <c r="K228" t="s">
        <v>319</v>
      </c>
      <c r="L228" s="85"/>
      <c r="M228" s="85"/>
    </row>
    <row r="229" spans="1:13" x14ac:dyDescent="0.2">
      <c r="A229" t="s">
        <v>356</v>
      </c>
      <c r="B229" t="s">
        <v>231</v>
      </c>
      <c r="C229">
        <v>75</v>
      </c>
      <c r="D229">
        <v>1061.7</v>
      </c>
      <c r="E229">
        <v>3.5</v>
      </c>
      <c r="F229">
        <v>0.32</v>
      </c>
      <c r="G229">
        <v>1.2E-2</v>
      </c>
      <c r="H229" t="s">
        <v>357</v>
      </c>
      <c r="I229">
        <v>3.5</v>
      </c>
      <c r="J229">
        <v>16</v>
      </c>
      <c r="K229" t="s">
        <v>319</v>
      </c>
      <c r="L229" s="85"/>
      <c r="M229" s="85"/>
    </row>
    <row r="230" spans="1:13" x14ac:dyDescent="0.2">
      <c r="A230" t="s">
        <v>356</v>
      </c>
      <c r="B230" t="s">
        <v>232</v>
      </c>
      <c r="C230">
        <v>111</v>
      </c>
      <c r="D230">
        <v>53.7</v>
      </c>
      <c r="E230">
        <v>9.4</v>
      </c>
      <c r="F230">
        <v>0.01</v>
      </c>
      <c r="G230">
        <v>1E-3</v>
      </c>
      <c r="H230" t="s">
        <v>357</v>
      </c>
      <c r="I230">
        <v>10.9</v>
      </c>
      <c r="J230">
        <v>8</v>
      </c>
      <c r="K230" t="s">
        <v>319</v>
      </c>
      <c r="L230" s="85"/>
      <c r="M230" s="85"/>
    </row>
    <row r="231" spans="1:13" x14ac:dyDescent="0.2">
      <c r="A231" t="s">
        <v>356</v>
      </c>
      <c r="B231" t="s">
        <v>233</v>
      </c>
      <c r="C231">
        <v>118</v>
      </c>
      <c r="D231">
        <v>796</v>
      </c>
      <c r="E231">
        <v>5.0999999999999996</v>
      </c>
      <c r="F231">
        <v>0.06</v>
      </c>
      <c r="G231">
        <v>3.0000000000000001E-3</v>
      </c>
      <c r="H231" t="s">
        <v>357</v>
      </c>
      <c r="I231">
        <v>5.8</v>
      </c>
      <c r="J231">
        <v>91</v>
      </c>
      <c r="K231" t="s">
        <v>319</v>
      </c>
      <c r="L231" s="85"/>
      <c r="M231" s="85"/>
    </row>
    <row r="232" spans="1:13" x14ac:dyDescent="0.2">
      <c r="A232" t="s">
        <v>356</v>
      </c>
      <c r="B232" t="s">
        <v>234</v>
      </c>
      <c r="C232">
        <v>206</v>
      </c>
      <c r="D232">
        <v>2646.6</v>
      </c>
      <c r="E232">
        <v>1</v>
      </c>
      <c r="F232">
        <v>0.23</v>
      </c>
      <c r="G232">
        <v>3.0000000000000001E-3</v>
      </c>
      <c r="H232" t="s">
        <v>357</v>
      </c>
      <c r="I232">
        <v>1.2</v>
      </c>
      <c r="J232">
        <v>405</v>
      </c>
      <c r="K232" t="s">
        <v>319</v>
      </c>
      <c r="L232" s="145">
        <v>0.24099999999999999</v>
      </c>
      <c r="M232" s="85">
        <f>F232*L232</f>
        <v>5.543E-2</v>
      </c>
    </row>
    <row r="233" spans="1:13" x14ac:dyDescent="0.2">
      <c r="A233" t="s">
        <v>356</v>
      </c>
      <c r="B233" t="s">
        <v>234</v>
      </c>
      <c r="C233">
        <v>207</v>
      </c>
      <c r="D233">
        <v>2335.5</v>
      </c>
      <c r="E233">
        <v>2.4</v>
      </c>
      <c r="F233">
        <v>0.27</v>
      </c>
      <c r="G233">
        <v>8.0000000000000002E-3</v>
      </c>
      <c r="H233" t="s">
        <v>357</v>
      </c>
      <c r="I233">
        <v>2.9</v>
      </c>
      <c r="J233">
        <v>377</v>
      </c>
      <c r="K233" t="s">
        <v>319</v>
      </c>
      <c r="L233" s="145">
        <v>0.221</v>
      </c>
      <c r="M233" s="85">
        <f t="shared" ref="M233:M234" si="12">F233*L233</f>
        <v>5.9670000000000008E-2</v>
      </c>
    </row>
    <row r="234" spans="1:13" x14ac:dyDescent="0.2">
      <c r="A234" t="s">
        <v>356</v>
      </c>
      <c r="B234" t="s">
        <v>234</v>
      </c>
      <c r="C234">
        <v>208</v>
      </c>
      <c r="D234">
        <v>5711.1</v>
      </c>
      <c r="E234">
        <v>1.4</v>
      </c>
      <c r="F234">
        <v>0.26</v>
      </c>
      <c r="G234">
        <v>4.0000000000000001E-3</v>
      </c>
      <c r="H234" t="s">
        <v>357</v>
      </c>
      <c r="I234">
        <v>1.6</v>
      </c>
      <c r="J234">
        <v>905</v>
      </c>
      <c r="K234" t="s">
        <v>319</v>
      </c>
      <c r="L234" s="145">
        <v>0.52400000000000002</v>
      </c>
      <c r="M234" s="85">
        <f t="shared" si="12"/>
        <v>0.13624</v>
      </c>
    </row>
    <row r="235" spans="1:13" x14ac:dyDescent="0.2">
      <c r="A235" t="s">
        <v>338</v>
      </c>
      <c r="L235" s="85"/>
      <c r="M235" s="85"/>
    </row>
    <row r="236" spans="1:13" x14ac:dyDescent="0.2">
      <c r="A236" t="s">
        <v>339</v>
      </c>
      <c r="B236" t="s">
        <v>220</v>
      </c>
      <c r="L236" s="85"/>
      <c r="M236" s="85"/>
    </row>
    <row r="237" spans="1:13" x14ac:dyDescent="0.2">
      <c r="A237" t="s">
        <v>341</v>
      </c>
      <c r="B237" t="s">
        <v>342</v>
      </c>
      <c r="C237" t="s">
        <v>343</v>
      </c>
      <c r="D237" t="s">
        <v>375</v>
      </c>
      <c r="L237" s="85"/>
      <c r="M237" s="85"/>
    </row>
    <row r="238" spans="1:13" x14ac:dyDescent="0.2">
      <c r="A238" t="s">
        <v>345</v>
      </c>
      <c r="L238" s="85"/>
      <c r="M238" s="85"/>
    </row>
    <row r="239" spans="1:13" x14ac:dyDescent="0.2">
      <c r="A239" t="s">
        <v>346</v>
      </c>
      <c r="L239" s="85"/>
      <c r="M239" s="85"/>
    </row>
    <row r="240" spans="1:13" x14ac:dyDescent="0.2">
      <c r="A240" t="s">
        <v>347</v>
      </c>
      <c r="B240" t="s">
        <v>348</v>
      </c>
      <c r="C240" t="s">
        <v>349</v>
      </c>
      <c r="D240" t="s">
        <v>350</v>
      </c>
      <c r="E240" t="s">
        <v>351</v>
      </c>
      <c r="F240" t="s">
        <v>352</v>
      </c>
      <c r="G240" t="s">
        <v>353</v>
      </c>
      <c r="H240" t="s">
        <v>314</v>
      </c>
      <c r="I240" t="s">
        <v>351</v>
      </c>
      <c r="J240" t="s">
        <v>354</v>
      </c>
      <c r="K240" t="s">
        <v>355</v>
      </c>
      <c r="L240" s="85" t="s">
        <v>423</v>
      </c>
      <c r="M240" s="85" t="s">
        <v>424</v>
      </c>
    </row>
    <row r="241" spans="1:13" x14ac:dyDescent="0.2">
      <c r="A241" t="s">
        <v>356</v>
      </c>
      <c r="B241" t="s">
        <v>2</v>
      </c>
      <c r="C241">
        <v>57</v>
      </c>
      <c r="D241">
        <v>365062.7</v>
      </c>
      <c r="E241">
        <v>0.6</v>
      </c>
      <c r="F241">
        <v>420.39</v>
      </c>
      <c r="G241">
        <v>2.9289999999999998</v>
      </c>
      <c r="H241" t="s">
        <v>357</v>
      </c>
      <c r="I241">
        <v>0.7</v>
      </c>
      <c r="J241">
        <v>45113</v>
      </c>
      <c r="K241" t="s">
        <v>319</v>
      </c>
      <c r="L241" s="85"/>
      <c r="M241" s="85"/>
    </row>
    <row r="242" spans="1:13" x14ac:dyDescent="0.2">
      <c r="A242" t="s">
        <v>356</v>
      </c>
      <c r="B242" t="s">
        <v>1</v>
      </c>
      <c r="C242">
        <v>27</v>
      </c>
      <c r="D242">
        <v>4253857.0999999996</v>
      </c>
      <c r="E242">
        <v>1.4</v>
      </c>
      <c r="F242">
        <v>212.91</v>
      </c>
      <c r="G242">
        <v>2.9510000000000001</v>
      </c>
      <c r="H242" t="s">
        <v>357</v>
      </c>
      <c r="I242">
        <v>1.4</v>
      </c>
      <c r="J242">
        <v>7344</v>
      </c>
      <c r="K242" t="s">
        <v>319</v>
      </c>
      <c r="L242" s="85"/>
      <c r="M242" s="85"/>
    </row>
    <row r="243" spans="1:13" x14ac:dyDescent="0.2">
      <c r="A243" t="s">
        <v>356</v>
      </c>
      <c r="B243" t="s">
        <v>227</v>
      </c>
      <c r="C243">
        <v>53</v>
      </c>
      <c r="D243">
        <v>3977.9</v>
      </c>
      <c r="E243">
        <v>0.7</v>
      </c>
      <c r="F243">
        <v>1.39</v>
      </c>
      <c r="G243">
        <v>0.01</v>
      </c>
      <c r="H243" t="s">
        <v>357</v>
      </c>
      <c r="I243">
        <v>0.7</v>
      </c>
      <c r="J243">
        <v>245</v>
      </c>
      <c r="K243" t="s">
        <v>319</v>
      </c>
      <c r="L243" s="85"/>
      <c r="M243" s="85"/>
    </row>
    <row r="244" spans="1:13" x14ac:dyDescent="0.2">
      <c r="A244" t="s">
        <v>356</v>
      </c>
      <c r="B244" t="s">
        <v>228</v>
      </c>
      <c r="C244">
        <v>55</v>
      </c>
      <c r="D244">
        <v>1992798.9</v>
      </c>
      <c r="E244">
        <v>0.4</v>
      </c>
      <c r="F244">
        <v>53.45</v>
      </c>
      <c r="G244">
        <v>0.19800000000000001</v>
      </c>
      <c r="H244" t="s">
        <v>357</v>
      </c>
      <c r="I244">
        <v>0.4</v>
      </c>
      <c r="J244">
        <v>1061</v>
      </c>
      <c r="K244" t="s">
        <v>319</v>
      </c>
      <c r="L244" s="85"/>
      <c r="M244" s="85"/>
    </row>
    <row r="245" spans="1:13" x14ac:dyDescent="0.2">
      <c r="A245" t="s">
        <v>356</v>
      </c>
      <c r="B245" t="s">
        <v>229</v>
      </c>
      <c r="C245">
        <v>63</v>
      </c>
      <c r="D245">
        <v>42462</v>
      </c>
      <c r="E245">
        <v>0.2</v>
      </c>
      <c r="F245">
        <v>2.94</v>
      </c>
      <c r="G245">
        <v>7.0000000000000001E-3</v>
      </c>
      <c r="H245" t="s">
        <v>357</v>
      </c>
      <c r="I245">
        <v>0.2</v>
      </c>
      <c r="J245">
        <v>350</v>
      </c>
      <c r="K245" t="s">
        <v>319</v>
      </c>
      <c r="L245" s="85"/>
      <c r="M245" s="85"/>
    </row>
    <row r="246" spans="1:13" x14ac:dyDescent="0.2">
      <c r="A246" t="s">
        <v>356</v>
      </c>
      <c r="B246" t="s">
        <v>230</v>
      </c>
      <c r="C246">
        <v>66</v>
      </c>
      <c r="D246">
        <v>9150.6</v>
      </c>
      <c r="E246">
        <v>0.5</v>
      </c>
      <c r="F246">
        <v>2.61</v>
      </c>
      <c r="G246">
        <v>1.4E-2</v>
      </c>
      <c r="H246" t="s">
        <v>357</v>
      </c>
      <c r="I246">
        <v>0.5</v>
      </c>
      <c r="J246">
        <v>215</v>
      </c>
      <c r="K246" t="s">
        <v>319</v>
      </c>
      <c r="L246" s="85"/>
      <c r="M246" s="85"/>
    </row>
    <row r="247" spans="1:13" x14ac:dyDescent="0.2">
      <c r="A247" t="s">
        <v>356</v>
      </c>
      <c r="B247" t="s">
        <v>231</v>
      </c>
      <c r="C247">
        <v>75</v>
      </c>
      <c r="D247">
        <v>1911.1</v>
      </c>
      <c r="E247">
        <v>1.2</v>
      </c>
      <c r="F247">
        <v>0.59</v>
      </c>
      <c r="G247">
        <v>7.0000000000000001E-3</v>
      </c>
      <c r="H247" t="s">
        <v>357</v>
      </c>
      <c r="I247">
        <v>1.2</v>
      </c>
      <c r="J247">
        <v>16</v>
      </c>
      <c r="K247" t="s">
        <v>319</v>
      </c>
      <c r="L247" s="85"/>
      <c r="M247" s="85"/>
    </row>
    <row r="248" spans="1:13" x14ac:dyDescent="0.2">
      <c r="A248" t="s">
        <v>356</v>
      </c>
      <c r="B248" t="s">
        <v>232</v>
      </c>
      <c r="C248">
        <v>111</v>
      </c>
      <c r="D248">
        <v>57</v>
      </c>
      <c r="E248">
        <v>21.3</v>
      </c>
      <c r="F248">
        <v>0.01</v>
      </c>
      <c r="G248">
        <v>3.0000000000000001E-3</v>
      </c>
      <c r="H248" t="s">
        <v>357</v>
      </c>
      <c r="I248">
        <v>24.7</v>
      </c>
      <c r="J248">
        <v>8</v>
      </c>
      <c r="K248" t="s">
        <v>319</v>
      </c>
      <c r="L248" s="85"/>
      <c r="M248" s="85"/>
    </row>
    <row r="249" spans="1:13" x14ac:dyDescent="0.2">
      <c r="A249" t="s">
        <v>356</v>
      </c>
      <c r="B249" t="s">
        <v>233</v>
      </c>
      <c r="C249">
        <v>118</v>
      </c>
      <c r="D249">
        <v>600.70000000000005</v>
      </c>
      <c r="E249">
        <v>3.1</v>
      </c>
      <c r="F249">
        <v>0.04</v>
      </c>
      <c r="G249">
        <v>2E-3</v>
      </c>
      <c r="H249" t="s">
        <v>357</v>
      </c>
      <c r="I249">
        <v>3.7</v>
      </c>
      <c r="J249">
        <v>91</v>
      </c>
      <c r="K249" t="s">
        <v>319</v>
      </c>
      <c r="L249" s="85"/>
      <c r="M249" s="85"/>
    </row>
    <row r="250" spans="1:13" x14ac:dyDescent="0.2">
      <c r="A250" t="s">
        <v>356</v>
      </c>
      <c r="B250" t="s">
        <v>234</v>
      </c>
      <c r="C250">
        <v>206</v>
      </c>
      <c r="D250">
        <v>3931.2</v>
      </c>
      <c r="E250">
        <v>0.7</v>
      </c>
      <c r="F250">
        <v>0.37</v>
      </c>
      <c r="G250">
        <v>3.0000000000000001E-3</v>
      </c>
      <c r="H250" t="s">
        <v>357</v>
      </c>
      <c r="I250">
        <v>0.7</v>
      </c>
      <c r="J250">
        <v>405</v>
      </c>
      <c r="K250" t="s">
        <v>319</v>
      </c>
      <c r="L250" s="145">
        <v>0.24099999999999999</v>
      </c>
      <c r="M250" s="85">
        <f>F250*L250</f>
        <v>8.9169999999999999E-2</v>
      </c>
    </row>
    <row r="251" spans="1:13" x14ac:dyDescent="0.2">
      <c r="A251" t="s">
        <v>356</v>
      </c>
      <c r="B251" t="s">
        <v>234</v>
      </c>
      <c r="C251">
        <v>207</v>
      </c>
      <c r="D251">
        <v>3441.4</v>
      </c>
      <c r="E251">
        <v>0.8</v>
      </c>
      <c r="F251">
        <v>0.42</v>
      </c>
      <c r="G251">
        <v>4.0000000000000001E-3</v>
      </c>
      <c r="H251" t="s">
        <v>357</v>
      </c>
      <c r="I251">
        <v>0.9</v>
      </c>
      <c r="J251">
        <v>377</v>
      </c>
      <c r="K251" t="s">
        <v>319</v>
      </c>
      <c r="L251" s="145">
        <v>0.221</v>
      </c>
      <c r="M251" s="85">
        <f t="shared" ref="M251:M252" si="13">F251*L251</f>
        <v>9.282E-2</v>
      </c>
    </row>
    <row r="252" spans="1:13" x14ac:dyDescent="0.2">
      <c r="A252" t="s">
        <v>356</v>
      </c>
      <c r="B252" t="s">
        <v>234</v>
      </c>
      <c r="C252">
        <v>208</v>
      </c>
      <c r="D252">
        <v>8410.5</v>
      </c>
      <c r="E252">
        <v>1.5</v>
      </c>
      <c r="F252">
        <v>0.4</v>
      </c>
      <c r="G252">
        <v>7.0000000000000001E-3</v>
      </c>
      <c r="H252" t="s">
        <v>357</v>
      </c>
      <c r="I252">
        <v>1.7</v>
      </c>
      <c r="J252">
        <v>905</v>
      </c>
      <c r="K252" t="s">
        <v>319</v>
      </c>
      <c r="L252" s="145">
        <v>0.52400000000000002</v>
      </c>
      <c r="M252" s="85">
        <f t="shared" si="13"/>
        <v>0.20960000000000001</v>
      </c>
    </row>
    <row r="253" spans="1:13" x14ac:dyDescent="0.2">
      <c r="A253" t="s">
        <v>338</v>
      </c>
      <c r="L253" s="85"/>
      <c r="M253" s="85"/>
    </row>
    <row r="254" spans="1:13" x14ac:dyDescent="0.2">
      <c r="A254" t="s">
        <v>339</v>
      </c>
      <c r="B254" t="s">
        <v>221</v>
      </c>
      <c r="L254" s="85"/>
      <c r="M254" s="85"/>
    </row>
    <row r="255" spans="1:13" x14ac:dyDescent="0.2">
      <c r="A255" t="s">
        <v>341</v>
      </c>
      <c r="B255" t="s">
        <v>342</v>
      </c>
      <c r="C255" t="s">
        <v>343</v>
      </c>
      <c r="D255" t="s">
        <v>376</v>
      </c>
      <c r="L255" s="85"/>
      <c r="M255" s="85"/>
    </row>
    <row r="256" spans="1:13" x14ac:dyDescent="0.2">
      <c r="A256" t="s">
        <v>345</v>
      </c>
      <c r="L256" s="85"/>
      <c r="M256" s="85"/>
    </row>
    <row r="257" spans="1:13" x14ac:dyDescent="0.2">
      <c r="A257" t="s">
        <v>346</v>
      </c>
      <c r="L257" s="85"/>
      <c r="M257" s="85"/>
    </row>
    <row r="258" spans="1:13" x14ac:dyDescent="0.2">
      <c r="A258" t="s">
        <v>347</v>
      </c>
      <c r="B258" t="s">
        <v>348</v>
      </c>
      <c r="C258" t="s">
        <v>349</v>
      </c>
      <c r="D258" t="s">
        <v>350</v>
      </c>
      <c r="E258" t="s">
        <v>351</v>
      </c>
      <c r="F258" t="s">
        <v>352</v>
      </c>
      <c r="G258" t="s">
        <v>353</v>
      </c>
      <c r="H258" t="s">
        <v>314</v>
      </c>
      <c r="I258" t="s">
        <v>351</v>
      </c>
      <c r="J258" t="s">
        <v>354</v>
      </c>
      <c r="K258" t="s">
        <v>355</v>
      </c>
      <c r="L258" s="85" t="s">
        <v>423</v>
      </c>
      <c r="M258" s="85" t="s">
        <v>424</v>
      </c>
    </row>
    <row r="259" spans="1:13" x14ac:dyDescent="0.2">
      <c r="A259" t="s">
        <v>356</v>
      </c>
      <c r="B259" t="s">
        <v>2</v>
      </c>
      <c r="C259">
        <v>57</v>
      </c>
      <c r="D259">
        <v>74786.600000000006</v>
      </c>
      <c r="E259">
        <v>0.5</v>
      </c>
      <c r="F259">
        <v>38.99</v>
      </c>
      <c r="G259">
        <v>0.44600000000000001</v>
      </c>
      <c r="H259" t="s">
        <v>357</v>
      </c>
      <c r="I259">
        <v>1.1000000000000001</v>
      </c>
      <c r="J259">
        <v>45113</v>
      </c>
      <c r="K259" t="s">
        <v>319</v>
      </c>
      <c r="L259" s="85"/>
      <c r="M259" s="85"/>
    </row>
    <row r="260" spans="1:13" x14ac:dyDescent="0.2">
      <c r="A260" t="s">
        <v>356</v>
      </c>
      <c r="B260" t="s">
        <v>1</v>
      </c>
      <c r="C260">
        <v>27</v>
      </c>
      <c r="D260">
        <v>704810.3</v>
      </c>
      <c r="E260">
        <v>2</v>
      </c>
      <c r="F260">
        <v>34.97</v>
      </c>
      <c r="G260">
        <v>0.71399999999999997</v>
      </c>
      <c r="H260" t="s">
        <v>357</v>
      </c>
      <c r="I260">
        <v>2</v>
      </c>
      <c r="J260">
        <v>7344</v>
      </c>
      <c r="K260" t="s">
        <v>319</v>
      </c>
      <c r="L260" s="85"/>
      <c r="M260" s="85"/>
    </row>
    <row r="261" spans="1:13" x14ac:dyDescent="0.2">
      <c r="A261" t="s">
        <v>356</v>
      </c>
      <c r="B261" t="s">
        <v>227</v>
      </c>
      <c r="C261">
        <v>53</v>
      </c>
      <c r="D261">
        <v>1026.4000000000001</v>
      </c>
      <c r="E261">
        <v>5.7</v>
      </c>
      <c r="F261">
        <v>0.28999999999999998</v>
      </c>
      <c r="G261">
        <v>2.1999999999999999E-2</v>
      </c>
      <c r="H261" t="s">
        <v>357</v>
      </c>
      <c r="I261">
        <v>7.4</v>
      </c>
      <c r="J261">
        <v>245</v>
      </c>
      <c r="K261" t="s">
        <v>319</v>
      </c>
      <c r="L261" s="85"/>
      <c r="M261" s="85"/>
    </row>
    <row r="262" spans="1:13" x14ac:dyDescent="0.2">
      <c r="A262" t="s">
        <v>356</v>
      </c>
      <c r="B262" t="s">
        <v>228</v>
      </c>
      <c r="C262">
        <v>55</v>
      </c>
      <c r="D262">
        <v>64525.7</v>
      </c>
      <c r="E262">
        <v>0.9</v>
      </c>
      <c r="F262">
        <v>1.7</v>
      </c>
      <c r="G262">
        <v>1.6E-2</v>
      </c>
      <c r="H262" t="s">
        <v>357</v>
      </c>
      <c r="I262">
        <v>1</v>
      </c>
      <c r="J262">
        <v>1061</v>
      </c>
      <c r="K262" t="s">
        <v>319</v>
      </c>
      <c r="L262" s="85"/>
      <c r="M262" s="85"/>
    </row>
    <row r="263" spans="1:13" x14ac:dyDescent="0.2">
      <c r="A263" t="s">
        <v>356</v>
      </c>
      <c r="B263" t="s">
        <v>229</v>
      </c>
      <c r="C263">
        <v>63</v>
      </c>
      <c r="D263">
        <v>8751</v>
      </c>
      <c r="E263">
        <v>0.3</v>
      </c>
      <c r="F263">
        <v>0.59</v>
      </c>
      <c r="G263">
        <v>2E-3</v>
      </c>
      <c r="H263" t="s">
        <v>357</v>
      </c>
      <c r="I263">
        <v>0.3</v>
      </c>
      <c r="J263">
        <v>350</v>
      </c>
      <c r="K263" t="s">
        <v>319</v>
      </c>
      <c r="L263" s="85"/>
      <c r="M263" s="85"/>
    </row>
    <row r="264" spans="1:13" x14ac:dyDescent="0.2">
      <c r="A264" t="s">
        <v>356</v>
      </c>
      <c r="B264" t="s">
        <v>230</v>
      </c>
      <c r="C264">
        <v>66</v>
      </c>
      <c r="D264">
        <v>5709.8</v>
      </c>
      <c r="E264">
        <v>0.6</v>
      </c>
      <c r="F264">
        <v>1.61</v>
      </c>
      <c r="G264">
        <v>1.0999999999999999E-2</v>
      </c>
      <c r="H264" t="s">
        <v>357</v>
      </c>
      <c r="I264">
        <v>0.7</v>
      </c>
      <c r="J264">
        <v>215</v>
      </c>
      <c r="K264" t="s">
        <v>319</v>
      </c>
      <c r="L264" s="85"/>
      <c r="M264" s="85"/>
    </row>
    <row r="265" spans="1:13" x14ac:dyDescent="0.2">
      <c r="A265" t="s">
        <v>356</v>
      </c>
      <c r="B265" t="s">
        <v>231</v>
      </c>
      <c r="C265">
        <v>75</v>
      </c>
      <c r="D265">
        <v>366.7</v>
      </c>
      <c r="E265">
        <v>4.5999999999999996</v>
      </c>
      <c r="F265">
        <v>0.11</v>
      </c>
      <c r="G265">
        <v>5.0000000000000001E-3</v>
      </c>
      <c r="H265" t="s">
        <v>357</v>
      </c>
      <c r="I265">
        <v>4.9000000000000004</v>
      </c>
      <c r="J265">
        <v>16</v>
      </c>
      <c r="K265" t="s">
        <v>319</v>
      </c>
      <c r="L265" s="85"/>
      <c r="M265" s="85"/>
    </row>
    <row r="266" spans="1:13" x14ac:dyDescent="0.2">
      <c r="A266" t="s">
        <v>356</v>
      </c>
      <c r="B266" t="s">
        <v>232</v>
      </c>
      <c r="C266">
        <v>111</v>
      </c>
      <c r="D266">
        <v>45</v>
      </c>
      <c r="E266">
        <v>6.7</v>
      </c>
      <c r="F266">
        <v>0.01</v>
      </c>
      <c r="G266">
        <v>1E-3</v>
      </c>
      <c r="H266" t="s">
        <v>357</v>
      </c>
      <c r="I266">
        <v>8</v>
      </c>
      <c r="J266">
        <v>8</v>
      </c>
      <c r="K266" t="s">
        <v>319</v>
      </c>
      <c r="L266" s="85"/>
      <c r="M266" s="85"/>
    </row>
    <row r="267" spans="1:13" x14ac:dyDescent="0.2">
      <c r="A267" t="s">
        <v>356</v>
      </c>
      <c r="B267" t="s">
        <v>233</v>
      </c>
      <c r="C267">
        <v>118</v>
      </c>
      <c r="D267">
        <v>311.3</v>
      </c>
      <c r="E267">
        <v>6.3</v>
      </c>
      <c r="F267">
        <v>0.02</v>
      </c>
      <c r="G267">
        <v>2E-3</v>
      </c>
      <c r="H267" t="s">
        <v>357</v>
      </c>
      <c r="I267">
        <v>8.9</v>
      </c>
      <c r="J267">
        <v>91</v>
      </c>
      <c r="K267" t="s">
        <v>319</v>
      </c>
      <c r="L267" s="85"/>
      <c r="M267" s="85"/>
    </row>
    <row r="268" spans="1:13" x14ac:dyDescent="0.2">
      <c r="A268" t="s">
        <v>356</v>
      </c>
      <c r="B268" t="s">
        <v>234</v>
      </c>
      <c r="C268">
        <v>206</v>
      </c>
      <c r="D268">
        <v>1011</v>
      </c>
      <c r="E268">
        <v>1.2</v>
      </c>
      <c r="F268">
        <v>0.06</v>
      </c>
      <c r="G268">
        <v>1E-3</v>
      </c>
      <c r="H268" t="s">
        <v>357</v>
      </c>
      <c r="I268">
        <v>1.9</v>
      </c>
      <c r="J268">
        <v>405</v>
      </c>
      <c r="K268" t="s">
        <v>319</v>
      </c>
      <c r="L268" s="145">
        <v>0.24099999999999999</v>
      </c>
      <c r="M268" s="85">
        <f>F268*L268</f>
        <v>1.4459999999999999E-2</v>
      </c>
    </row>
    <row r="269" spans="1:13" x14ac:dyDescent="0.2">
      <c r="A269" t="s">
        <v>356</v>
      </c>
      <c r="B269" t="s">
        <v>234</v>
      </c>
      <c r="C269">
        <v>207</v>
      </c>
      <c r="D269">
        <v>926.7</v>
      </c>
      <c r="E269">
        <v>1.5</v>
      </c>
      <c r="F269">
        <v>7.0000000000000007E-2</v>
      </c>
      <c r="G269">
        <v>2E-3</v>
      </c>
      <c r="H269" t="s">
        <v>357</v>
      </c>
      <c r="I269">
        <v>2.5</v>
      </c>
      <c r="J269">
        <v>377</v>
      </c>
      <c r="K269" t="s">
        <v>319</v>
      </c>
      <c r="L269" s="145">
        <v>0.221</v>
      </c>
      <c r="M269" s="85">
        <f t="shared" ref="M269:M270" si="14">F269*L269</f>
        <v>1.5470000000000001E-2</v>
      </c>
    </row>
    <row r="270" spans="1:13" x14ac:dyDescent="0.2">
      <c r="A270" t="s">
        <v>356</v>
      </c>
      <c r="B270" t="s">
        <v>234</v>
      </c>
      <c r="C270">
        <v>208</v>
      </c>
      <c r="D270">
        <v>2200.8000000000002</v>
      </c>
      <c r="E270">
        <v>2</v>
      </c>
      <c r="F270">
        <v>7.0000000000000007E-2</v>
      </c>
      <c r="G270">
        <v>2E-3</v>
      </c>
      <c r="H270" t="s">
        <v>357</v>
      </c>
      <c r="I270">
        <v>3.4</v>
      </c>
      <c r="J270">
        <v>905</v>
      </c>
      <c r="K270" t="s">
        <v>319</v>
      </c>
      <c r="L270" s="145">
        <v>0.52400000000000002</v>
      </c>
      <c r="M270" s="85">
        <f t="shared" si="14"/>
        <v>3.6680000000000004E-2</v>
      </c>
    </row>
    <row r="271" spans="1:13" x14ac:dyDescent="0.2">
      <c r="A271" t="s">
        <v>338</v>
      </c>
      <c r="M271" s="85"/>
    </row>
    <row r="272" spans="1:13" x14ac:dyDescent="0.2">
      <c r="A272" t="s">
        <v>339</v>
      </c>
      <c r="B272" t="s">
        <v>222</v>
      </c>
      <c r="M272" s="85"/>
    </row>
    <row r="273" spans="1:13" x14ac:dyDescent="0.2">
      <c r="A273" t="s">
        <v>341</v>
      </c>
      <c r="B273" t="s">
        <v>342</v>
      </c>
      <c r="C273" t="s">
        <v>343</v>
      </c>
      <c r="D273" t="s">
        <v>377</v>
      </c>
      <c r="M273" s="85"/>
    </row>
    <row r="274" spans="1:13" x14ac:dyDescent="0.2">
      <c r="A274" t="s">
        <v>345</v>
      </c>
      <c r="M274" s="85"/>
    </row>
    <row r="275" spans="1:13" x14ac:dyDescent="0.2">
      <c r="A275" t="s">
        <v>346</v>
      </c>
      <c r="M275" s="85"/>
    </row>
    <row r="276" spans="1:13" x14ac:dyDescent="0.2">
      <c r="A276" t="s">
        <v>347</v>
      </c>
      <c r="B276" t="s">
        <v>348</v>
      </c>
      <c r="C276" t="s">
        <v>349</v>
      </c>
      <c r="D276" t="s">
        <v>350</v>
      </c>
      <c r="E276" t="s">
        <v>351</v>
      </c>
      <c r="F276" t="s">
        <v>352</v>
      </c>
      <c r="G276" t="s">
        <v>353</v>
      </c>
      <c r="H276" t="s">
        <v>314</v>
      </c>
      <c r="I276" t="s">
        <v>351</v>
      </c>
      <c r="J276" t="s">
        <v>354</v>
      </c>
      <c r="K276" t="s">
        <v>355</v>
      </c>
      <c r="L276" s="85" t="s">
        <v>423</v>
      </c>
      <c r="M276" s="85" t="s">
        <v>424</v>
      </c>
    </row>
    <row r="277" spans="1:13" x14ac:dyDescent="0.2">
      <c r="A277" t="s">
        <v>356</v>
      </c>
      <c r="B277" t="s">
        <v>2</v>
      </c>
      <c r="C277">
        <v>57</v>
      </c>
      <c r="D277">
        <v>98706.5</v>
      </c>
      <c r="E277">
        <v>1.2</v>
      </c>
      <c r="F277">
        <v>70.42</v>
      </c>
      <c r="G277">
        <v>1.496</v>
      </c>
      <c r="H277" t="s">
        <v>357</v>
      </c>
      <c r="I277">
        <v>2.1</v>
      </c>
      <c r="J277">
        <v>45113</v>
      </c>
      <c r="K277" t="s">
        <v>319</v>
      </c>
      <c r="L277" s="85"/>
      <c r="M277" s="85"/>
    </row>
    <row r="278" spans="1:13" x14ac:dyDescent="0.2">
      <c r="A278" t="s">
        <v>356</v>
      </c>
      <c r="B278" t="s">
        <v>1</v>
      </c>
      <c r="C278">
        <v>27</v>
      </c>
      <c r="D278">
        <v>2257968</v>
      </c>
      <c r="E278">
        <v>1.7</v>
      </c>
      <c r="F278">
        <v>112.84</v>
      </c>
      <c r="G278">
        <v>1.946</v>
      </c>
      <c r="H278" t="s">
        <v>357</v>
      </c>
      <c r="I278">
        <v>1.7</v>
      </c>
      <c r="J278">
        <v>7344</v>
      </c>
      <c r="K278" t="s">
        <v>319</v>
      </c>
      <c r="L278" s="85"/>
      <c r="M278" s="85"/>
    </row>
    <row r="279" spans="1:13" x14ac:dyDescent="0.2">
      <c r="A279" t="s">
        <v>356</v>
      </c>
      <c r="B279" t="s">
        <v>227</v>
      </c>
      <c r="C279">
        <v>53</v>
      </c>
      <c r="D279">
        <v>1197.0999999999999</v>
      </c>
      <c r="E279">
        <v>2.7</v>
      </c>
      <c r="F279">
        <v>0.35</v>
      </c>
      <c r="G279">
        <v>1.2E-2</v>
      </c>
      <c r="H279" t="s">
        <v>357</v>
      </c>
      <c r="I279">
        <v>3.4</v>
      </c>
      <c r="J279">
        <v>245</v>
      </c>
      <c r="K279" t="s">
        <v>319</v>
      </c>
      <c r="L279" s="85"/>
      <c r="M279" s="85"/>
    </row>
    <row r="280" spans="1:13" x14ac:dyDescent="0.2">
      <c r="A280" t="s">
        <v>356</v>
      </c>
      <c r="B280" t="s">
        <v>228</v>
      </c>
      <c r="C280">
        <v>55</v>
      </c>
      <c r="D280">
        <v>247095</v>
      </c>
      <c r="E280">
        <v>0.2</v>
      </c>
      <c r="F280">
        <v>6.6</v>
      </c>
      <c r="G280">
        <v>1.4999999999999999E-2</v>
      </c>
      <c r="H280" t="s">
        <v>357</v>
      </c>
      <c r="I280">
        <v>0.2</v>
      </c>
      <c r="J280">
        <v>1061</v>
      </c>
      <c r="K280" t="s">
        <v>319</v>
      </c>
      <c r="L280" s="85"/>
      <c r="M280" s="85"/>
    </row>
    <row r="281" spans="1:13" x14ac:dyDescent="0.2">
      <c r="A281" t="s">
        <v>356</v>
      </c>
      <c r="B281" t="s">
        <v>229</v>
      </c>
      <c r="C281">
        <v>63</v>
      </c>
      <c r="D281">
        <v>12707.3</v>
      </c>
      <c r="E281">
        <v>1</v>
      </c>
      <c r="F281">
        <v>0.86</v>
      </c>
      <c r="G281">
        <v>8.9999999999999993E-3</v>
      </c>
      <c r="H281" t="s">
        <v>357</v>
      </c>
      <c r="I281">
        <v>1</v>
      </c>
      <c r="J281">
        <v>350</v>
      </c>
      <c r="K281" t="s">
        <v>319</v>
      </c>
      <c r="L281" s="85"/>
      <c r="M281" s="85"/>
    </row>
    <row r="282" spans="1:13" x14ac:dyDescent="0.2">
      <c r="A282" t="s">
        <v>356</v>
      </c>
      <c r="B282" t="s">
        <v>230</v>
      </c>
      <c r="C282">
        <v>66</v>
      </c>
      <c r="D282">
        <v>14069.9</v>
      </c>
      <c r="E282">
        <v>0.7</v>
      </c>
      <c r="F282">
        <v>4.05</v>
      </c>
      <c r="G282">
        <v>2.8000000000000001E-2</v>
      </c>
      <c r="H282" t="s">
        <v>357</v>
      </c>
      <c r="I282">
        <v>0.7</v>
      </c>
      <c r="J282">
        <v>215</v>
      </c>
      <c r="K282" t="s">
        <v>319</v>
      </c>
      <c r="L282" s="85"/>
      <c r="M282" s="85"/>
    </row>
    <row r="283" spans="1:13" x14ac:dyDescent="0.2">
      <c r="A283" t="s">
        <v>356</v>
      </c>
      <c r="B283" t="s">
        <v>231</v>
      </c>
      <c r="C283">
        <v>75</v>
      </c>
      <c r="D283">
        <v>636.29999999999995</v>
      </c>
      <c r="E283">
        <v>4.3</v>
      </c>
      <c r="F283">
        <v>0.19</v>
      </c>
      <c r="G283">
        <v>8.9999999999999993E-3</v>
      </c>
      <c r="H283" t="s">
        <v>357</v>
      </c>
      <c r="I283">
        <v>4.4000000000000004</v>
      </c>
      <c r="J283">
        <v>16</v>
      </c>
      <c r="K283" t="s">
        <v>319</v>
      </c>
      <c r="L283" s="85"/>
      <c r="M283" s="85"/>
    </row>
    <row r="284" spans="1:13" x14ac:dyDescent="0.2">
      <c r="A284" t="s">
        <v>356</v>
      </c>
      <c r="B284" t="s">
        <v>232</v>
      </c>
      <c r="C284">
        <v>111</v>
      </c>
      <c r="D284">
        <v>80.7</v>
      </c>
      <c r="E284">
        <v>5.2</v>
      </c>
      <c r="F284">
        <v>0.02</v>
      </c>
      <c r="G284">
        <v>1E-3</v>
      </c>
      <c r="H284" t="s">
        <v>357</v>
      </c>
      <c r="I284">
        <v>5.7</v>
      </c>
      <c r="J284">
        <v>8</v>
      </c>
      <c r="K284" t="s">
        <v>319</v>
      </c>
      <c r="L284" s="85"/>
      <c r="M284" s="85"/>
    </row>
    <row r="285" spans="1:13" x14ac:dyDescent="0.2">
      <c r="A285" t="s">
        <v>356</v>
      </c>
      <c r="B285" t="s">
        <v>233</v>
      </c>
      <c r="C285">
        <v>118</v>
      </c>
      <c r="D285">
        <v>469</v>
      </c>
      <c r="E285">
        <v>7.6</v>
      </c>
      <c r="F285">
        <v>0.03</v>
      </c>
      <c r="G285">
        <v>3.0000000000000001E-3</v>
      </c>
      <c r="H285" t="s">
        <v>357</v>
      </c>
      <c r="I285">
        <v>9.4</v>
      </c>
      <c r="J285">
        <v>91</v>
      </c>
      <c r="K285" t="s">
        <v>319</v>
      </c>
      <c r="L285" s="85"/>
      <c r="M285" s="85"/>
    </row>
    <row r="286" spans="1:13" x14ac:dyDescent="0.2">
      <c r="A286" t="s">
        <v>356</v>
      </c>
      <c r="B286" t="s">
        <v>234</v>
      </c>
      <c r="C286">
        <v>206</v>
      </c>
      <c r="D286">
        <v>2429.9</v>
      </c>
      <c r="E286">
        <v>2.1</v>
      </c>
      <c r="F286">
        <v>0.21</v>
      </c>
      <c r="G286">
        <v>5.0000000000000001E-3</v>
      </c>
      <c r="H286" t="s">
        <v>357</v>
      </c>
      <c r="I286">
        <v>2.5</v>
      </c>
      <c r="J286">
        <v>405</v>
      </c>
      <c r="K286" t="s">
        <v>319</v>
      </c>
      <c r="L286" s="145">
        <v>0.24099999999999999</v>
      </c>
      <c r="M286" s="85">
        <f>F286*L286</f>
        <v>5.0609999999999995E-2</v>
      </c>
    </row>
    <row r="287" spans="1:13" x14ac:dyDescent="0.2">
      <c r="A287" t="s">
        <v>356</v>
      </c>
      <c r="B287" t="s">
        <v>234</v>
      </c>
      <c r="C287">
        <v>207</v>
      </c>
      <c r="D287">
        <v>2154.1999999999998</v>
      </c>
      <c r="E287">
        <v>0.3</v>
      </c>
      <c r="F287">
        <v>0.24</v>
      </c>
      <c r="G287">
        <v>1E-3</v>
      </c>
      <c r="H287" t="s">
        <v>357</v>
      </c>
      <c r="I287">
        <v>0.4</v>
      </c>
      <c r="J287">
        <v>377</v>
      </c>
      <c r="K287" t="s">
        <v>319</v>
      </c>
      <c r="L287" s="145">
        <v>0.221</v>
      </c>
      <c r="M287" s="85">
        <f t="shared" ref="M287:M288" si="15">F287*L287</f>
        <v>5.3039999999999997E-2</v>
      </c>
    </row>
    <row r="288" spans="1:13" x14ac:dyDescent="0.2">
      <c r="A288" t="s">
        <v>356</v>
      </c>
      <c r="B288" t="s">
        <v>234</v>
      </c>
      <c r="C288">
        <v>208</v>
      </c>
      <c r="D288">
        <v>5253.3</v>
      </c>
      <c r="E288">
        <v>1.3</v>
      </c>
      <c r="F288">
        <v>0.23</v>
      </c>
      <c r="G288">
        <v>4.0000000000000001E-3</v>
      </c>
      <c r="H288" t="s">
        <v>357</v>
      </c>
      <c r="I288">
        <v>1.5</v>
      </c>
      <c r="J288">
        <v>905</v>
      </c>
      <c r="K288" t="s">
        <v>319</v>
      </c>
      <c r="L288" s="145">
        <v>0.52400000000000002</v>
      </c>
      <c r="M288" s="85">
        <f t="shared" si="15"/>
        <v>0.12052000000000002</v>
      </c>
    </row>
    <row r="289" spans="1:13" x14ac:dyDescent="0.2">
      <c r="A289" t="s">
        <v>338</v>
      </c>
      <c r="L289" s="85"/>
      <c r="M289" s="85"/>
    </row>
    <row r="290" spans="1:13" x14ac:dyDescent="0.2">
      <c r="A290" t="s">
        <v>339</v>
      </c>
      <c r="B290" t="s">
        <v>223</v>
      </c>
      <c r="L290" s="85"/>
      <c r="M290" s="85"/>
    </row>
    <row r="291" spans="1:13" x14ac:dyDescent="0.2">
      <c r="A291" t="s">
        <v>341</v>
      </c>
      <c r="B291" t="s">
        <v>342</v>
      </c>
      <c r="C291" t="s">
        <v>343</v>
      </c>
      <c r="D291" t="s">
        <v>378</v>
      </c>
      <c r="L291" s="85"/>
      <c r="M291" s="85"/>
    </row>
    <row r="292" spans="1:13" x14ac:dyDescent="0.2">
      <c r="A292" t="s">
        <v>345</v>
      </c>
      <c r="L292" s="85"/>
      <c r="M292" s="85"/>
    </row>
    <row r="293" spans="1:13" x14ac:dyDescent="0.2">
      <c r="A293" t="s">
        <v>346</v>
      </c>
      <c r="L293" s="85"/>
      <c r="M293" s="85"/>
    </row>
    <row r="294" spans="1:13" x14ac:dyDescent="0.2">
      <c r="A294" t="s">
        <v>347</v>
      </c>
      <c r="B294" t="s">
        <v>348</v>
      </c>
      <c r="C294" t="s">
        <v>349</v>
      </c>
      <c r="D294" t="s">
        <v>350</v>
      </c>
      <c r="E294" t="s">
        <v>351</v>
      </c>
      <c r="F294" t="s">
        <v>352</v>
      </c>
      <c r="G294" t="s">
        <v>353</v>
      </c>
      <c r="H294" t="s">
        <v>314</v>
      </c>
      <c r="I294" t="s">
        <v>351</v>
      </c>
      <c r="J294" t="s">
        <v>354</v>
      </c>
      <c r="K294" t="s">
        <v>355</v>
      </c>
      <c r="L294" s="85" t="s">
        <v>423</v>
      </c>
      <c r="M294" s="85" t="s">
        <v>424</v>
      </c>
    </row>
    <row r="295" spans="1:13" x14ac:dyDescent="0.2">
      <c r="A295" t="s">
        <v>356</v>
      </c>
      <c r="B295" t="s">
        <v>2</v>
      </c>
      <c r="C295">
        <v>57</v>
      </c>
      <c r="D295">
        <v>130620.5</v>
      </c>
      <c r="E295">
        <v>0.7</v>
      </c>
      <c r="F295">
        <v>112.35</v>
      </c>
      <c r="G295">
        <v>1.2250000000000001</v>
      </c>
      <c r="H295" t="s">
        <v>357</v>
      </c>
      <c r="I295">
        <v>1.1000000000000001</v>
      </c>
      <c r="J295">
        <v>45113</v>
      </c>
      <c r="K295" t="s">
        <v>319</v>
      </c>
      <c r="L295" s="85"/>
      <c r="M295" s="85"/>
    </row>
    <row r="296" spans="1:13" x14ac:dyDescent="0.2">
      <c r="A296" t="s">
        <v>356</v>
      </c>
      <c r="B296" t="s">
        <v>1</v>
      </c>
      <c r="C296">
        <v>27</v>
      </c>
      <c r="D296">
        <v>828427.1</v>
      </c>
      <c r="E296">
        <v>0.1</v>
      </c>
      <c r="F296">
        <v>41.17</v>
      </c>
      <c r="G296">
        <v>0.06</v>
      </c>
      <c r="H296" t="s">
        <v>357</v>
      </c>
      <c r="I296">
        <v>0.1</v>
      </c>
      <c r="J296">
        <v>7344</v>
      </c>
      <c r="K296" t="s">
        <v>319</v>
      </c>
      <c r="L296" s="85"/>
      <c r="M296" s="85"/>
    </row>
    <row r="297" spans="1:13" x14ac:dyDescent="0.2">
      <c r="A297" t="s">
        <v>356</v>
      </c>
      <c r="B297" t="s">
        <v>227</v>
      </c>
      <c r="C297">
        <v>53</v>
      </c>
      <c r="D297">
        <v>1757.1</v>
      </c>
      <c r="E297">
        <v>2.7</v>
      </c>
      <c r="F297">
        <v>0.56000000000000005</v>
      </c>
      <c r="G297">
        <v>1.7999999999999999E-2</v>
      </c>
      <c r="H297" t="s">
        <v>357</v>
      </c>
      <c r="I297">
        <v>3.2</v>
      </c>
      <c r="J297">
        <v>245</v>
      </c>
      <c r="K297" t="s">
        <v>319</v>
      </c>
      <c r="L297" s="85"/>
      <c r="M297" s="85"/>
    </row>
    <row r="298" spans="1:13" x14ac:dyDescent="0.2">
      <c r="A298" t="s">
        <v>356</v>
      </c>
      <c r="B298" t="s">
        <v>228</v>
      </c>
      <c r="C298">
        <v>55</v>
      </c>
      <c r="D298">
        <v>218707.5</v>
      </c>
      <c r="E298">
        <v>0.5</v>
      </c>
      <c r="F298">
        <v>5.84</v>
      </c>
      <c r="G298">
        <v>3.1E-2</v>
      </c>
      <c r="H298" t="s">
        <v>357</v>
      </c>
      <c r="I298">
        <v>0.5</v>
      </c>
      <c r="J298">
        <v>1061</v>
      </c>
      <c r="K298" t="s">
        <v>319</v>
      </c>
      <c r="L298" s="85"/>
      <c r="M298" s="85"/>
    </row>
    <row r="299" spans="1:13" x14ac:dyDescent="0.2">
      <c r="A299" t="s">
        <v>356</v>
      </c>
      <c r="B299" t="s">
        <v>229</v>
      </c>
      <c r="C299">
        <v>63</v>
      </c>
      <c r="D299">
        <v>11453.3</v>
      </c>
      <c r="E299">
        <v>1.1000000000000001</v>
      </c>
      <c r="F299">
        <v>0.77</v>
      </c>
      <c r="G299">
        <v>8.9999999999999993E-3</v>
      </c>
      <c r="H299" t="s">
        <v>357</v>
      </c>
      <c r="I299">
        <v>1.1000000000000001</v>
      </c>
      <c r="J299">
        <v>350</v>
      </c>
      <c r="K299" t="s">
        <v>319</v>
      </c>
      <c r="L299" s="85"/>
      <c r="M299" s="85"/>
    </row>
    <row r="300" spans="1:13" x14ac:dyDescent="0.2">
      <c r="A300" t="s">
        <v>356</v>
      </c>
      <c r="B300" t="s">
        <v>230</v>
      </c>
      <c r="C300">
        <v>66</v>
      </c>
      <c r="D300">
        <v>2120.1999999999998</v>
      </c>
      <c r="E300">
        <v>4.5999999999999996</v>
      </c>
      <c r="F300">
        <v>0.56000000000000005</v>
      </c>
      <c r="G300">
        <v>2.8000000000000001E-2</v>
      </c>
      <c r="H300" t="s">
        <v>357</v>
      </c>
      <c r="I300">
        <v>5.0999999999999996</v>
      </c>
      <c r="J300">
        <v>215</v>
      </c>
      <c r="K300" t="s">
        <v>319</v>
      </c>
      <c r="L300" s="85"/>
      <c r="M300" s="85"/>
    </row>
    <row r="301" spans="1:13" x14ac:dyDescent="0.2">
      <c r="A301" t="s">
        <v>356</v>
      </c>
      <c r="B301" t="s">
        <v>231</v>
      </c>
      <c r="C301">
        <v>75</v>
      </c>
      <c r="D301">
        <v>1049.4000000000001</v>
      </c>
      <c r="E301">
        <v>4</v>
      </c>
      <c r="F301">
        <v>0.32</v>
      </c>
      <c r="G301">
        <v>1.2999999999999999E-2</v>
      </c>
      <c r="H301" t="s">
        <v>357</v>
      </c>
      <c r="I301">
        <v>4.0999999999999996</v>
      </c>
      <c r="J301">
        <v>16</v>
      </c>
      <c r="K301" t="s">
        <v>319</v>
      </c>
      <c r="L301" s="85"/>
      <c r="M301" s="85"/>
    </row>
    <row r="302" spans="1:13" x14ac:dyDescent="0.2">
      <c r="A302" t="s">
        <v>356</v>
      </c>
      <c r="B302" t="s">
        <v>232</v>
      </c>
      <c r="C302">
        <v>111</v>
      </c>
      <c r="D302">
        <v>29.3</v>
      </c>
      <c r="E302">
        <v>14.2</v>
      </c>
      <c r="F302">
        <v>0.01</v>
      </c>
      <c r="G302">
        <v>1E-3</v>
      </c>
      <c r="H302" t="s">
        <v>357</v>
      </c>
      <c r="I302">
        <v>19.2</v>
      </c>
      <c r="J302">
        <v>8</v>
      </c>
      <c r="K302" t="s">
        <v>319</v>
      </c>
      <c r="L302" s="85"/>
      <c r="M302" s="85"/>
    </row>
    <row r="303" spans="1:13" x14ac:dyDescent="0.2">
      <c r="A303" t="s">
        <v>356</v>
      </c>
      <c r="B303" t="s">
        <v>233</v>
      </c>
      <c r="C303">
        <v>118</v>
      </c>
      <c r="D303">
        <v>361</v>
      </c>
      <c r="E303">
        <v>9.5</v>
      </c>
      <c r="F303">
        <v>0.02</v>
      </c>
      <c r="G303">
        <v>3.0000000000000001E-3</v>
      </c>
      <c r="H303" t="s">
        <v>357</v>
      </c>
      <c r="I303">
        <v>12.7</v>
      </c>
      <c r="J303">
        <v>91</v>
      </c>
      <c r="K303" t="s">
        <v>319</v>
      </c>
      <c r="L303" s="85"/>
      <c r="M303" s="85"/>
    </row>
    <row r="304" spans="1:13" x14ac:dyDescent="0.2">
      <c r="A304" t="s">
        <v>356</v>
      </c>
      <c r="B304" t="s">
        <v>234</v>
      </c>
      <c r="C304">
        <v>206</v>
      </c>
      <c r="D304">
        <v>1080.4000000000001</v>
      </c>
      <c r="E304">
        <v>1.6</v>
      </c>
      <c r="F304">
        <v>7.0000000000000007E-2</v>
      </c>
      <c r="G304">
        <v>2E-3</v>
      </c>
      <c r="H304" t="s">
        <v>357</v>
      </c>
      <c r="I304">
        <v>2.6</v>
      </c>
      <c r="J304">
        <v>405</v>
      </c>
      <c r="K304" t="s">
        <v>319</v>
      </c>
      <c r="L304" s="145">
        <v>0.24099999999999999</v>
      </c>
      <c r="M304" s="85">
        <f>F304*L304</f>
        <v>1.687E-2</v>
      </c>
    </row>
    <row r="305" spans="1:13" x14ac:dyDescent="0.2">
      <c r="A305" t="s">
        <v>356</v>
      </c>
      <c r="B305" t="s">
        <v>234</v>
      </c>
      <c r="C305">
        <v>207</v>
      </c>
      <c r="D305">
        <v>993.7</v>
      </c>
      <c r="E305">
        <v>1.2</v>
      </c>
      <c r="F305">
        <v>0.08</v>
      </c>
      <c r="G305">
        <v>2E-3</v>
      </c>
      <c r="H305" t="s">
        <v>357</v>
      </c>
      <c r="I305">
        <v>2</v>
      </c>
      <c r="J305">
        <v>377</v>
      </c>
      <c r="K305" t="s">
        <v>319</v>
      </c>
      <c r="L305" s="145">
        <v>0.221</v>
      </c>
      <c r="M305" s="85">
        <f t="shared" ref="M305:M306" si="16">F305*L305</f>
        <v>1.7680000000000001E-2</v>
      </c>
    </row>
    <row r="306" spans="1:13" x14ac:dyDescent="0.2">
      <c r="A306" t="s">
        <v>356</v>
      </c>
      <c r="B306" t="s">
        <v>234</v>
      </c>
      <c r="C306">
        <v>208</v>
      </c>
      <c r="D306">
        <v>2371.9</v>
      </c>
      <c r="E306">
        <v>3.1</v>
      </c>
      <c r="F306">
        <v>0.08</v>
      </c>
      <c r="G306">
        <v>4.0000000000000001E-3</v>
      </c>
      <c r="H306" t="s">
        <v>357</v>
      </c>
      <c r="I306">
        <v>5</v>
      </c>
      <c r="J306">
        <v>905</v>
      </c>
      <c r="K306" t="s">
        <v>319</v>
      </c>
      <c r="L306" s="145">
        <v>0.52400000000000002</v>
      </c>
      <c r="M306" s="85">
        <f t="shared" si="16"/>
        <v>4.1920000000000006E-2</v>
      </c>
    </row>
    <row r="307" spans="1:13" x14ac:dyDescent="0.2">
      <c r="A307" t="s">
        <v>338</v>
      </c>
      <c r="L307" s="85"/>
      <c r="M307" s="85"/>
    </row>
    <row r="308" spans="1:13" x14ac:dyDescent="0.2">
      <c r="A308" t="s">
        <v>339</v>
      </c>
      <c r="B308" t="s">
        <v>379</v>
      </c>
      <c r="L308" s="85"/>
      <c r="M308" s="85"/>
    </row>
    <row r="309" spans="1:13" x14ac:dyDescent="0.2">
      <c r="A309" t="s">
        <v>341</v>
      </c>
      <c r="B309" t="s">
        <v>342</v>
      </c>
      <c r="C309" t="s">
        <v>343</v>
      </c>
      <c r="D309" t="s">
        <v>380</v>
      </c>
      <c r="L309" s="85"/>
      <c r="M309" s="85"/>
    </row>
    <row r="310" spans="1:13" x14ac:dyDescent="0.2">
      <c r="A310" t="s">
        <v>345</v>
      </c>
      <c r="L310" s="85"/>
      <c r="M310" s="85"/>
    </row>
    <row r="311" spans="1:13" x14ac:dyDescent="0.2">
      <c r="A311" t="s">
        <v>346</v>
      </c>
      <c r="L311" s="85"/>
      <c r="M311" s="85"/>
    </row>
    <row r="312" spans="1:13" x14ac:dyDescent="0.2">
      <c r="A312" t="s">
        <v>347</v>
      </c>
      <c r="B312" t="s">
        <v>348</v>
      </c>
      <c r="C312" t="s">
        <v>349</v>
      </c>
      <c r="D312" t="s">
        <v>350</v>
      </c>
      <c r="E312" t="s">
        <v>351</v>
      </c>
      <c r="F312" t="s">
        <v>352</v>
      </c>
      <c r="G312" t="s">
        <v>353</v>
      </c>
      <c r="H312" t="s">
        <v>314</v>
      </c>
      <c r="I312" t="s">
        <v>351</v>
      </c>
      <c r="J312" t="s">
        <v>354</v>
      </c>
      <c r="K312" t="s">
        <v>355</v>
      </c>
      <c r="L312" s="85" t="s">
        <v>423</v>
      </c>
      <c r="M312" s="85" t="s">
        <v>424</v>
      </c>
    </row>
    <row r="313" spans="1:13" x14ac:dyDescent="0.2">
      <c r="A313" t="s">
        <v>356</v>
      </c>
      <c r="B313" t="s">
        <v>2</v>
      </c>
      <c r="C313">
        <v>57</v>
      </c>
      <c r="D313">
        <v>315701</v>
      </c>
      <c r="E313">
        <v>0.8</v>
      </c>
      <c r="F313">
        <v>355.53</v>
      </c>
      <c r="G313">
        <v>3.238</v>
      </c>
      <c r="H313" t="s">
        <v>357</v>
      </c>
      <c r="I313">
        <v>0.9</v>
      </c>
      <c r="J313">
        <v>45113</v>
      </c>
      <c r="K313" t="s">
        <v>319</v>
      </c>
      <c r="L313" s="85"/>
      <c r="M313" s="85"/>
    </row>
    <row r="314" spans="1:13" x14ac:dyDescent="0.2">
      <c r="A314" t="s">
        <v>356</v>
      </c>
      <c r="B314" t="s">
        <v>1</v>
      </c>
      <c r="C314">
        <v>27</v>
      </c>
      <c r="D314">
        <v>7258580.5999999996</v>
      </c>
      <c r="E314">
        <v>0.9</v>
      </c>
      <c r="F314">
        <v>363.55</v>
      </c>
      <c r="G314">
        <v>3.3519999999999999</v>
      </c>
      <c r="H314" t="s">
        <v>357</v>
      </c>
      <c r="I314">
        <v>0.9</v>
      </c>
      <c r="J314">
        <v>7344</v>
      </c>
      <c r="K314" t="s">
        <v>319</v>
      </c>
      <c r="L314" s="85"/>
      <c r="M314" s="85"/>
    </row>
    <row r="315" spans="1:13" x14ac:dyDescent="0.2">
      <c r="A315" t="s">
        <v>356</v>
      </c>
      <c r="B315" t="s">
        <v>227</v>
      </c>
      <c r="C315">
        <v>53</v>
      </c>
      <c r="D315">
        <v>20172.900000000001</v>
      </c>
      <c r="E315">
        <v>0.8</v>
      </c>
      <c r="F315">
        <v>7.41</v>
      </c>
      <c r="G315">
        <v>6.0999999999999999E-2</v>
      </c>
      <c r="H315" t="s">
        <v>357</v>
      </c>
      <c r="I315">
        <v>0.8</v>
      </c>
      <c r="J315">
        <v>245</v>
      </c>
      <c r="K315" t="s">
        <v>319</v>
      </c>
      <c r="L315" s="85"/>
      <c r="M315" s="85"/>
    </row>
    <row r="316" spans="1:13" x14ac:dyDescent="0.2">
      <c r="A316" t="s">
        <v>356</v>
      </c>
      <c r="B316" t="s">
        <v>228</v>
      </c>
      <c r="C316">
        <v>55</v>
      </c>
      <c r="D316">
        <v>1319551.3999999999</v>
      </c>
      <c r="E316">
        <v>0.8</v>
      </c>
      <c r="F316">
        <v>35.380000000000003</v>
      </c>
      <c r="G316">
        <v>0.29699999999999999</v>
      </c>
      <c r="H316" t="s">
        <v>357</v>
      </c>
      <c r="I316">
        <v>0.8</v>
      </c>
      <c r="J316">
        <v>1061</v>
      </c>
      <c r="K316" t="s">
        <v>319</v>
      </c>
      <c r="L316" s="85"/>
      <c r="M316" s="85"/>
    </row>
    <row r="317" spans="1:13" x14ac:dyDescent="0.2">
      <c r="A317" t="s">
        <v>356</v>
      </c>
      <c r="B317" t="s">
        <v>229</v>
      </c>
      <c r="C317">
        <v>63</v>
      </c>
      <c r="D317">
        <v>520559.2</v>
      </c>
      <c r="E317">
        <v>0.5</v>
      </c>
      <c r="F317">
        <v>36.270000000000003</v>
      </c>
      <c r="G317">
        <v>0.19800000000000001</v>
      </c>
      <c r="H317" t="s">
        <v>357</v>
      </c>
      <c r="I317">
        <v>0.5</v>
      </c>
      <c r="J317">
        <v>350</v>
      </c>
      <c r="K317" t="s">
        <v>319</v>
      </c>
      <c r="L317" s="85"/>
      <c r="M317" s="85"/>
    </row>
    <row r="318" spans="1:13" x14ac:dyDescent="0.2">
      <c r="A318" t="s">
        <v>356</v>
      </c>
      <c r="B318" t="s">
        <v>230</v>
      </c>
      <c r="C318">
        <v>66</v>
      </c>
      <c r="D318">
        <v>120935.8</v>
      </c>
      <c r="E318">
        <v>1</v>
      </c>
      <c r="F318">
        <v>35.299999999999997</v>
      </c>
      <c r="G318">
        <v>0.35799999999999998</v>
      </c>
      <c r="H318" t="s">
        <v>357</v>
      </c>
      <c r="I318">
        <v>1</v>
      </c>
      <c r="J318">
        <v>215</v>
      </c>
      <c r="K318" t="s">
        <v>319</v>
      </c>
      <c r="L318" s="85"/>
      <c r="M318" s="85"/>
    </row>
    <row r="319" spans="1:13" x14ac:dyDescent="0.2">
      <c r="A319" t="s">
        <v>356</v>
      </c>
      <c r="B319" t="s">
        <v>231</v>
      </c>
      <c r="C319">
        <v>75</v>
      </c>
      <c r="D319">
        <v>23075</v>
      </c>
      <c r="E319">
        <v>1</v>
      </c>
      <c r="F319">
        <v>7.17</v>
      </c>
      <c r="G319">
        <v>7.0999999999999994E-2</v>
      </c>
      <c r="H319" t="s">
        <v>357</v>
      </c>
      <c r="I319">
        <v>1</v>
      </c>
      <c r="J319">
        <v>16</v>
      </c>
      <c r="K319" t="s">
        <v>319</v>
      </c>
      <c r="L319" s="85"/>
      <c r="M319" s="85"/>
    </row>
    <row r="320" spans="1:13" x14ac:dyDescent="0.2">
      <c r="A320" t="s">
        <v>356</v>
      </c>
      <c r="B320" t="s">
        <v>232</v>
      </c>
      <c r="C320">
        <v>111</v>
      </c>
      <c r="D320">
        <v>30765.1</v>
      </c>
      <c r="E320">
        <v>1</v>
      </c>
      <c r="F320">
        <v>7.16</v>
      </c>
      <c r="G320">
        <v>7.0999999999999994E-2</v>
      </c>
      <c r="H320" t="s">
        <v>357</v>
      </c>
      <c r="I320">
        <v>1</v>
      </c>
      <c r="J320">
        <v>8</v>
      </c>
      <c r="K320" t="s">
        <v>319</v>
      </c>
      <c r="L320" s="85"/>
      <c r="M320" s="85"/>
    </row>
    <row r="321" spans="1:13" x14ac:dyDescent="0.2">
      <c r="A321" t="s">
        <v>356</v>
      </c>
      <c r="B321" t="s">
        <v>233</v>
      </c>
      <c r="C321">
        <v>118</v>
      </c>
      <c r="D321">
        <v>87587.7</v>
      </c>
      <c r="E321">
        <v>0.3</v>
      </c>
      <c r="F321">
        <v>7.2</v>
      </c>
      <c r="G321">
        <v>1.9E-2</v>
      </c>
      <c r="H321" t="s">
        <v>357</v>
      </c>
      <c r="I321">
        <v>0.3</v>
      </c>
      <c r="J321">
        <v>91</v>
      </c>
      <c r="K321" t="s">
        <v>319</v>
      </c>
      <c r="L321" s="85"/>
      <c r="M321" s="85"/>
    </row>
    <row r="322" spans="1:13" x14ac:dyDescent="0.2">
      <c r="A322" t="s">
        <v>356</v>
      </c>
      <c r="B322" t="s">
        <v>234</v>
      </c>
      <c r="C322">
        <v>206</v>
      </c>
      <c r="D322">
        <v>73460.7</v>
      </c>
      <c r="E322">
        <v>0.6</v>
      </c>
      <c r="F322">
        <v>7.62</v>
      </c>
      <c r="G322">
        <v>4.5999999999999999E-2</v>
      </c>
      <c r="H322" t="s">
        <v>357</v>
      </c>
      <c r="I322">
        <v>0.6</v>
      </c>
      <c r="J322">
        <v>405</v>
      </c>
      <c r="K322" t="s">
        <v>319</v>
      </c>
      <c r="L322" s="145">
        <v>0.24099999999999999</v>
      </c>
      <c r="M322" s="85">
        <f>F322*L322</f>
        <v>1.8364199999999999</v>
      </c>
    </row>
    <row r="323" spans="1:13" x14ac:dyDescent="0.2">
      <c r="A323" t="s">
        <v>356</v>
      </c>
      <c r="B323" t="s">
        <v>234</v>
      </c>
      <c r="C323">
        <v>207</v>
      </c>
      <c r="D323">
        <v>56929.9</v>
      </c>
      <c r="E323">
        <v>0.6</v>
      </c>
      <c r="F323">
        <v>7.67</v>
      </c>
      <c r="G323">
        <v>4.7E-2</v>
      </c>
      <c r="H323" t="s">
        <v>357</v>
      </c>
      <c r="I323">
        <v>0.6</v>
      </c>
      <c r="J323">
        <v>377</v>
      </c>
      <c r="K323" t="s">
        <v>319</v>
      </c>
      <c r="L323" s="145">
        <v>0.221</v>
      </c>
      <c r="M323" s="85">
        <f t="shared" ref="M323:M324" si="17">F323*L323</f>
        <v>1.6950700000000001</v>
      </c>
    </row>
    <row r="324" spans="1:13" x14ac:dyDescent="0.2">
      <c r="A324" t="s">
        <v>356</v>
      </c>
      <c r="B324" t="s">
        <v>234</v>
      </c>
      <c r="C324">
        <v>208</v>
      </c>
      <c r="D324">
        <v>142466.20000000001</v>
      </c>
      <c r="E324">
        <v>0.4</v>
      </c>
      <c r="F324">
        <v>7.62</v>
      </c>
      <c r="G324">
        <v>2.9000000000000001E-2</v>
      </c>
      <c r="H324" t="s">
        <v>357</v>
      </c>
      <c r="I324">
        <v>0.4</v>
      </c>
      <c r="J324">
        <v>905</v>
      </c>
      <c r="K324" t="s">
        <v>319</v>
      </c>
      <c r="L324" s="145">
        <v>0.52400000000000002</v>
      </c>
      <c r="M324" s="85">
        <f t="shared" si="17"/>
        <v>3.9928800000000004</v>
      </c>
    </row>
    <row r="325" spans="1:13" x14ac:dyDescent="0.2">
      <c r="A325" t="s">
        <v>338</v>
      </c>
      <c r="M325" s="85"/>
    </row>
    <row r="326" spans="1:13" x14ac:dyDescent="0.2">
      <c r="A326" t="s">
        <v>339</v>
      </c>
      <c r="B326" t="s">
        <v>340</v>
      </c>
      <c r="M326" s="85"/>
    </row>
    <row r="327" spans="1:13" x14ac:dyDescent="0.2">
      <c r="A327" t="s">
        <v>341</v>
      </c>
      <c r="B327" t="s">
        <v>342</v>
      </c>
      <c r="C327" t="s">
        <v>343</v>
      </c>
      <c r="D327" t="s">
        <v>381</v>
      </c>
      <c r="M327" s="85"/>
    </row>
    <row r="328" spans="1:13" x14ac:dyDescent="0.2">
      <c r="A328" t="s">
        <v>345</v>
      </c>
      <c r="M328" s="85"/>
    </row>
    <row r="329" spans="1:13" x14ac:dyDescent="0.2">
      <c r="A329" t="s">
        <v>346</v>
      </c>
      <c r="M329" s="85"/>
    </row>
    <row r="330" spans="1:13" x14ac:dyDescent="0.2">
      <c r="A330" t="s">
        <v>347</v>
      </c>
      <c r="B330" t="s">
        <v>348</v>
      </c>
      <c r="C330" t="s">
        <v>349</v>
      </c>
      <c r="D330" t="s">
        <v>350</v>
      </c>
      <c r="E330" t="s">
        <v>351</v>
      </c>
      <c r="F330" t="s">
        <v>352</v>
      </c>
      <c r="G330" t="s">
        <v>353</v>
      </c>
      <c r="H330" t="s">
        <v>314</v>
      </c>
      <c r="I330" t="s">
        <v>351</v>
      </c>
      <c r="J330" t="s">
        <v>354</v>
      </c>
      <c r="K330" t="s">
        <v>355</v>
      </c>
      <c r="L330" s="85" t="s">
        <v>423</v>
      </c>
      <c r="M330" s="85" t="s">
        <v>424</v>
      </c>
    </row>
    <row r="331" spans="1:13" x14ac:dyDescent="0.2">
      <c r="A331" t="s">
        <v>356</v>
      </c>
      <c r="B331" t="s">
        <v>2</v>
      </c>
      <c r="C331">
        <v>57</v>
      </c>
      <c r="D331">
        <v>42415.5</v>
      </c>
      <c r="E331">
        <v>0.8</v>
      </c>
      <c r="H331" t="s">
        <v>357</v>
      </c>
      <c r="K331" t="s">
        <v>319</v>
      </c>
      <c r="L331" s="85"/>
      <c r="M331" s="85"/>
    </row>
    <row r="332" spans="1:13" x14ac:dyDescent="0.2">
      <c r="A332" t="s">
        <v>356</v>
      </c>
      <c r="B332" t="s">
        <v>1</v>
      </c>
      <c r="C332">
        <v>27</v>
      </c>
      <c r="D332">
        <v>15526.9</v>
      </c>
      <c r="E332">
        <v>16.399999999999999</v>
      </c>
      <c r="H332" t="s">
        <v>357</v>
      </c>
      <c r="K332" t="s">
        <v>319</v>
      </c>
      <c r="L332" s="85"/>
      <c r="M332" s="85"/>
    </row>
    <row r="333" spans="1:13" x14ac:dyDescent="0.2">
      <c r="A333" t="s">
        <v>356</v>
      </c>
      <c r="B333" t="s">
        <v>227</v>
      </c>
      <c r="C333">
        <v>53</v>
      </c>
      <c r="D333">
        <v>327.7</v>
      </c>
      <c r="E333">
        <v>5.5</v>
      </c>
      <c r="H333" t="s">
        <v>357</v>
      </c>
      <c r="K333" t="s">
        <v>319</v>
      </c>
      <c r="L333" s="85"/>
      <c r="M333" s="85"/>
    </row>
    <row r="334" spans="1:13" x14ac:dyDescent="0.2">
      <c r="A334" t="s">
        <v>356</v>
      </c>
      <c r="B334" t="s">
        <v>228</v>
      </c>
      <c r="C334">
        <v>55</v>
      </c>
      <c r="D334">
        <v>1912.5</v>
      </c>
      <c r="E334">
        <v>7.2</v>
      </c>
      <c r="H334" t="s">
        <v>357</v>
      </c>
      <c r="K334" t="s">
        <v>319</v>
      </c>
      <c r="L334" s="85"/>
      <c r="M334" s="85"/>
    </row>
    <row r="335" spans="1:13" x14ac:dyDescent="0.2">
      <c r="A335" t="s">
        <v>356</v>
      </c>
      <c r="B335" t="s">
        <v>229</v>
      </c>
      <c r="C335">
        <v>63</v>
      </c>
      <c r="D335">
        <v>694</v>
      </c>
      <c r="E335">
        <v>8.5</v>
      </c>
      <c r="H335" t="s">
        <v>357</v>
      </c>
      <c r="K335" t="s">
        <v>319</v>
      </c>
      <c r="L335" s="85"/>
      <c r="M335" s="85"/>
    </row>
    <row r="336" spans="1:13" x14ac:dyDescent="0.2">
      <c r="A336" t="s">
        <v>356</v>
      </c>
      <c r="B336" t="s">
        <v>230</v>
      </c>
      <c r="C336">
        <v>66</v>
      </c>
      <c r="D336">
        <v>255</v>
      </c>
      <c r="E336">
        <v>3.9</v>
      </c>
      <c r="H336" t="s">
        <v>357</v>
      </c>
      <c r="K336" t="s">
        <v>319</v>
      </c>
      <c r="L336" s="85"/>
      <c r="M336" s="85"/>
    </row>
    <row r="337" spans="1:13" x14ac:dyDescent="0.2">
      <c r="A337" t="s">
        <v>356</v>
      </c>
      <c r="B337" t="s">
        <v>231</v>
      </c>
      <c r="C337">
        <v>75</v>
      </c>
      <c r="D337">
        <v>35.299999999999997</v>
      </c>
      <c r="E337">
        <v>4.3</v>
      </c>
      <c r="H337" t="s">
        <v>357</v>
      </c>
      <c r="K337" t="s">
        <v>319</v>
      </c>
      <c r="L337" s="85"/>
      <c r="M337" s="85"/>
    </row>
    <row r="338" spans="1:13" x14ac:dyDescent="0.2">
      <c r="A338" t="s">
        <v>356</v>
      </c>
      <c r="B338" t="s">
        <v>232</v>
      </c>
      <c r="C338">
        <v>111</v>
      </c>
      <c r="D338">
        <v>24.7</v>
      </c>
      <c r="E338">
        <v>11.7</v>
      </c>
      <c r="H338" t="s">
        <v>357</v>
      </c>
      <c r="K338" t="s">
        <v>319</v>
      </c>
      <c r="L338" s="85"/>
      <c r="M338" s="85"/>
    </row>
    <row r="339" spans="1:13" x14ac:dyDescent="0.2">
      <c r="A339" t="s">
        <v>356</v>
      </c>
      <c r="B339" t="s">
        <v>233</v>
      </c>
      <c r="C339">
        <v>118</v>
      </c>
      <c r="D339">
        <v>216.7</v>
      </c>
      <c r="E339">
        <v>8.1999999999999993</v>
      </c>
      <c r="H339" t="s">
        <v>357</v>
      </c>
      <c r="K339" t="s">
        <v>319</v>
      </c>
      <c r="L339" s="85"/>
      <c r="M339" s="85"/>
    </row>
    <row r="340" spans="1:13" x14ac:dyDescent="0.2">
      <c r="A340" t="s">
        <v>356</v>
      </c>
      <c r="B340" t="s">
        <v>234</v>
      </c>
      <c r="C340">
        <v>206</v>
      </c>
      <c r="D340">
        <v>453.3</v>
      </c>
      <c r="E340">
        <v>3.3</v>
      </c>
      <c r="H340" t="s">
        <v>357</v>
      </c>
      <c r="K340" t="s">
        <v>319</v>
      </c>
      <c r="L340" s="145">
        <v>0.24099999999999999</v>
      </c>
      <c r="M340" s="85">
        <f>F340*L340</f>
        <v>0</v>
      </c>
    </row>
    <row r="341" spans="1:13" x14ac:dyDescent="0.2">
      <c r="A341" t="s">
        <v>356</v>
      </c>
      <c r="B341" t="s">
        <v>234</v>
      </c>
      <c r="C341">
        <v>207</v>
      </c>
      <c r="D341">
        <v>396.7</v>
      </c>
      <c r="E341">
        <v>3.2</v>
      </c>
      <c r="H341" t="s">
        <v>357</v>
      </c>
      <c r="K341" t="s">
        <v>319</v>
      </c>
      <c r="L341" s="145">
        <v>0.221</v>
      </c>
      <c r="M341" s="85">
        <f t="shared" ref="M341:M342" si="18">F341*L341</f>
        <v>0</v>
      </c>
    </row>
    <row r="342" spans="1:13" x14ac:dyDescent="0.2">
      <c r="A342" t="s">
        <v>356</v>
      </c>
      <c r="B342" t="s">
        <v>234</v>
      </c>
      <c r="C342">
        <v>208</v>
      </c>
      <c r="D342">
        <v>1028</v>
      </c>
      <c r="E342">
        <v>4.7</v>
      </c>
      <c r="H342" t="s">
        <v>357</v>
      </c>
      <c r="K342" t="s">
        <v>319</v>
      </c>
      <c r="L342" s="145">
        <v>0.52400000000000002</v>
      </c>
      <c r="M342" s="85">
        <f t="shared" si="18"/>
        <v>0</v>
      </c>
    </row>
    <row r="343" spans="1:13" x14ac:dyDescent="0.2">
      <c r="A343" t="s">
        <v>338</v>
      </c>
      <c r="L343" s="85"/>
      <c r="M343" s="85"/>
    </row>
    <row r="344" spans="1:13" x14ac:dyDescent="0.2">
      <c r="A344" t="s">
        <v>339</v>
      </c>
      <c r="B344" t="s">
        <v>358</v>
      </c>
      <c r="L344" s="85"/>
      <c r="M344" s="85"/>
    </row>
    <row r="345" spans="1:13" x14ac:dyDescent="0.2">
      <c r="A345" t="s">
        <v>341</v>
      </c>
      <c r="B345" t="s">
        <v>342</v>
      </c>
      <c r="C345" t="s">
        <v>343</v>
      </c>
      <c r="D345" t="s">
        <v>382</v>
      </c>
      <c r="L345" s="85"/>
      <c r="M345" s="85"/>
    </row>
    <row r="346" spans="1:13" x14ac:dyDescent="0.2">
      <c r="A346" t="s">
        <v>345</v>
      </c>
      <c r="L346" s="85"/>
      <c r="M346" s="85"/>
    </row>
    <row r="347" spans="1:13" x14ac:dyDescent="0.2">
      <c r="A347" t="s">
        <v>346</v>
      </c>
      <c r="L347" s="85"/>
      <c r="M347" s="85"/>
    </row>
    <row r="348" spans="1:13" x14ac:dyDescent="0.2">
      <c r="A348" t="s">
        <v>347</v>
      </c>
      <c r="B348" t="s">
        <v>348</v>
      </c>
      <c r="C348" t="s">
        <v>349</v>
      </c>
      <c r="D348" t="s">
        <v>350</v>
      </c>
      <c r="E348" t="s">
        <v>351</v>
      </c>
      <c r="F348" t="s">
        <v>352</v>
      </c>
      <c r="G348" t="s">
        <v>353</v>
      </c>
      <c r="H348" t="s">
        <v>314</v>
      </c>
      <c r="I348" t="s">
        <v>351</v>
      </c>
      <c r="J348" t="s">
        <v>354</v>
      </c>
      <c r="K348" t="s">
        <v>355</v>
      </c>
      <c r="L348" s="85" t="s">
        <v>423</v>
      </c>
      <c r="M348" s="85" t="s">
        <v>424</v>
      </c>
    </row>
    <row r="349" spans="1:13" x14ac:dyDescent="0.2">
      <c r="A349" t="s">
        <v>356</v>
      </c>
      <c r="B349" t="s">
        <v>2</v>
      </c>
      <c r="C349">
        <v>57</v>
      </c>
      <c r="D349">
        <v>133058.20000000001</v>
      </c>
      <c r="E349">
        <v>1.2</v>
      </c>
      <c r="F349">
        <v>119.2</v>
      </c>
      <c r="G349">
        <v>2.069</v>
      </c>
      <c r="H349" t="s">
        <v>357</v>
      </c>
      <c r="I349">
        <v>1.7</v>
      </c>
      <c r="J349">
        <v>42416</v>
      </c>
      <c r="K349" t="s">
        <v>319</v>
      </c>
      <c r="L349" s="85"/>
      <c r="M349" s="85"/>
    </row>
    <row r="350" spans="1:13" x14ac:dyDescent="0.2">
      <c r="A350" t="s">
        <v>356</v>
      </c>
      <c r="B350" t="s">
        <v>1</v>
      </c>
      <c r="C350">
        <v>27</v>
      </c>
      <c r="D350">
        <v>2475041.2999999998</v>
      </c>
      <c r="E350">
        <v>1.1000000000000001</v>
      </c>
      <c r="F350">
        <v>123.42</v>
      </c>
      <c r="G350">
        <v>1.3340000000000001</v>
      </c>
      <c r="H350" t="s">
        <v>357</v>
      </c>
      <c r="I350">
        <v>1.1000000000000001</v>
      </c>
      <c r="J350">
        <v>15527</v>
      </c>
      <c r="K350" t="s">
        <v>319</v>
      </c>
      <c r="L350" s="85"/>
      <c r="M350" s="85"/>
    </row>
    <row r="351" spans="1:13" x14ac:dyDescent="0.2">
      <c r="A351" t="s">
        <v>356</v>
      </c>
      <c r="B351" t="s">
        <v>227</v>
      </c>
      <c r="C351">
        <v>53</v>
      </c>
      <c r="D351">
        <v>6970.4</v>
      </c>
      <c r="E351">
        <v>0.5</v>
      </c>
      <c r="F351">
        <v>2.4700000000000002</v>
      </c>
      <c r="G351">
        <v>1.4E-2</v>
      </c>
      <c r="H351" t="s">
        <v>357</v>
      </c>
      <c r="I351">
        <v>0.6</v>
      </c>
      <c r="J351">
        <v>328</v>
      </c>
      <c r="K351" t="s">
        <v>319</v>
      </c>
      <c r="L351" s="85"/>
      <c r="M351" s="85"/>
    </row>
    <row r="352" spans="1:13" x14ac:dyDescent="0.2">
      <c r="A352" t="s">
        <v>356</v>
      </c>
      <c r="B352" t="s">
        <v>228</v>
      </c>
      <c r="C352">
        <v>55</v>
      </c>
      <c r="D352">
        <v>445399.6</v>
      </c>
      <c r="E352">
        <v>0.6</v>
      </c>
      <c r="F352">
        <v>11.92</v>
      </c>
      <c r="G352">
        <v>7.1999999999999995E-2</v>
      </c>
      <c r="H352" t="s">
        <v>357</v>
      </c>
      <c r="I352">
        <v>0.6</v>
      </c>
      <c r="J352">
        <v>1912</v>
      </c>
      <c r="K352" t="s">
        <v>319</v>
      </c>
      <c r="L352" s="85"/>
      <c r="M352" s="85"/>
    </row>
    <row r="353" spans="1:13" x14ac:dyDescent="0.2">
      <c r="A353" t="s">
        <v>356</v>
      </c>
      <c r="B353" t="s">
        <v>229</v>
      </c>
      <c r="C353">
        <v>63</v>
      </c>
      <c r="D353">
        <v>169855.1</v>
      </c>
      <c r="E353">
        <v>0.2</v>
      </c>
      <c r="F353">
        <v>11.81</v>
      </c>
      <c r="G353">
        <v>2.3E-2</v>
      </c>
      <c r="H353" t="s">
        <v>357</v>
      </c>
      <c r="I353">
        <v>0.2</v>
      </c>
      <c r="J353">
        <v>694</v>
      </c>
      <c r="K353" t="s">
        <v>319</v>
      </c>
      <c r="L353" s="85"/>
      <c r="M353" s="85"/>
    </row>
    <row r="354" spans="1:13" x14ac:dyDescent="0.2">
      <c r="A354" t="s">
        <v>356</v>
      </c>
      <c r="B354" t="s">
        <v>230</v>
      </c>
      <c r="C354">
        <v>66</v>
      </c>
      <c r="D354">
        <v>41999.7</v>
      </c>
      <c r="E354">
        <v>1</v>
      </c>
      <c r="F354">
        <v>12.23</v>
      </c>
      <c r="G354">
        <v>0.124</v>
      </c>
      <c r="H354" t="s">
        <v>357</v>
      </c>
      <c r="I354">
        <v>1</v>
      </c>
      <c r="J354">
        <v>255</v>
      </c>
      <c r="K354" t="s">
        <v>319</v>
      </c>
      <c r="L354" s="85"/>
      <c r="M354" s="85"/>
    </row>
    <row r="355" spans="1:13" x14ac:dyDescent="0.2">
      <c r="A355" t="s">
        <v>356</v>
      </c>
      <c r="B355" t="s">
        <v>231</v>
      </c>
      <c r="C355">
        <v>75</v>
      </c>
      <c r="D355">
        <v>8280.1</v>
      </c>
      <c r="E355">
        <v>1.9</v>
      </c>
      <c r="F355">
        <v>2.57</v>
      </c>
      <c r="G355">
        <v>4.9000000000000002E-2</v>
      </c>
      <c r="H355" t="s">
        <v>357</v>
      </c>
      <c r="I355">
        <v>1.9</v>
      </c>
      <c r="J355">
        <v>35</v>
      </c>
      <c r="K355" t="s">
        <v>319</v>
      </c>
      <c r="L355" s="85"/>
      <c r="M355" s="85"/>
    </row>
    <row r="356" spans="1:13" x14ac:dyDescent="0.2">
      <c r="A356" t="s">
        <v>356</v>
      </c>
      <c r="B356" t="s">
        <v>232</v>
      </c>
      <c r="C356">
        <v>111</v>
      </c>
      <c r="D356">
        <v>10210</v>
      </c>
      <c r="E356">
        <v>1.8</v>
      </c>
      <c r="F356">
        <v>2.37</v>
      </c>
      <c r="G356">
        <v>4.2999999999999997E-2</v>
      </c>
      <c r="H356" t="s">
        <v>357</v>
      </c>
      <c r="I356">
        <v>1.8</v>
      </c>
      <c r="J356">
        <v>25</v>
      </c>
      <c r="K356" t="s">
        <v>319</v>
      </c>
      <c r="L356" s="85"/>
      <c r="M356" s="85"/>
    </row>
    <row r="357" spans="1:13" x14ac:dyDescent="0.2">
      <c r="A357" t="s">
        <v>356</v>
      </c>
      <c r="B357" t="s">
        <v>233</v>
      </c>
      <c r="C357">
        <v>118</v>
      </c>
      <c r="D357">
        <v>28565.5</v>
      </c>
      <c r="E357">
        <v>1</v>
      </c>
      <c r="F357">
        <v>2.34</v>
      </c>
      <c r="G357">
        <v>2.3E-2</v>
      </c>
      <c r="H357" t="s">
        <v>357</v>
      </c>
      <c r="I357">
        <v>1</v>
      </c>
      <c r="J357">
        <v>217</v>
      </c>
      <c r="K357" t="s">
        <v>319</v>
      </c>
      <c r="L357" s="85"/>
      <c r="M357" s="85"/>
    </row>
    <row r="358" spans="1:13" x14ac:dyDescent="0.2">
      <c r="A358" t="s">
        <v>356</v>
      </c>
      <c r="B358" t="s">
        <v>234</v>
      </c>
      <c r="C358">
        <v>206</v>
      </c>
      <c r="D358">
        <v>24265.9</v>
      </c>
      <c r="E358">
        <v>1.7</v>
      </c>
      <c r="F358">
        <v>2.48</v>
      </c>
      <c r="G358">
        <v>4.2999999999999997E-2</v>
      </c>
      <c r="H358" t="s">
        <v>357</v>
      </c>
      <c r="I358">
        <v>1.7</v>
      </c>
      <c r="J358">
        <v>453</v>
      </c>
      <c r="K358" t="s">
        <v>319</v>
      </c>
      <c r="L358" s="145">
        <v>0.24099999999999999</v>
      </c>
      <c r="M358" s="85">
        <f>F358*L358</f>
        <v>0.59767999999999999</v>
      </c>
    </row>
    <row r="359" spans="1:13" x14ac:dyDescent="0.2">
      <c r="A359" t="s">
        <v>356</v>
      </c>
      <c r="B359" t="s">
        <v>234</v>
      </c>
      <c r="C359">
        <v>207</v>
      </c>
      <c r="D359">
        <v>18561.7</v>
      </c>
      <c r="E359">
        <v>0.7</v>
      </c>
      <c r="F359">
        <v>2.46</v>
      </c>
      <c r="G359">
        <v>1.9E-2</v>
      </c>
      <c r="H359" t="s">
        <v>357</v>
      </c>
      <c r="I359">
        <v>0.8</v>
      </c>
      <c r="J359">
        <v>397</v>
      </c>
      <c r="K359" t="s">
        <v>319</v>
      </c>
      <c r="L359" s="145">
        <v>0.221</v>
      </c>
      <c r="M359" s="85">
        <f t="shared" ref="M359:M360" si="19">F359*L359</f>
        <v>0.54366000000000003</v>
      </c>
    </row>
    <row r="360" spans="1:13" x14ac:dyDescent="0.2">
      <c r="A360" t="s">
        <v>356</v>
      </c>
      <c r="B360" t="s">
        <v>234</v>
      </c>
      <c r="C360">
        <v>208</v>
      </c>
      <c r="D360">
        <v>46852.4</v>
      </c>
      <c r="E360">
        <v>0.8</v>
      </c>
      <c r="F360">
        <v>2.4700000000000002</v>
      </c>
      <c r="G360">
        <v>0.02</v>
      </c>
      <c r="H360" t="s">
        <v>357</v>
      </c>
      <c r="I360">
        <v>0.8</v>
      </c>
      <c r="J360">
        <v>1028</v>
      </c>
      <c r="K360" t="s">
        <v>319</v>
      </c>
      <c r="L360" s="145">
        <v>0.52400000000000002</v>
      </c>
      <c r="M360" s="85">
        <f t="shared" si="19"/>
        <v>1.2942800000000001</v>
      </c>
    </row>
    <row r="361" spans="1:13" x14ac:dyDescent="0.2">
      <c r="A361" t="s">
        <v>338</v>
      </c>
      <c r="L361" s="85"/>
      <c r="M361" s="85"/>
    </row>
    <row r="362" spans="1:13" x14ac:dyDescent="0.2">
      <c r="A362" t="s">
        <v>339</v>
      </c>
      <c r="B362" t="s">
        <v>360</v>
      </c>
      <c r="L362" s="85"/>
      <c r="M362" s="85"/>
    </row>
    <row r="363" spans="1:13" x14ac:dyDescent="0.2">
      <c r="A363" t="s">
        <v>341</v>
      </c>
      <c r="B363" t="s">
        <v>342</v>
      </c>
      <c r="C363" t="s">
        <v>343</v>
      </c>
      <c r="D363" t="s">
        <v>383</v>
      </c>
      <c r="L363" s="85"/>
      <c r="M363" s="85"/>
    </row>
    <row r="364" spans="1:13" x14ac:dyDescent="0.2">
      <c r="A364" t="s">
        <v>345</v>
      </c>
      <c r="L364" s="85"/>
      <c r="M364" s="85"/>
    </row>
    <row r="365" spans="1:13" x14ac:dyDescent="0.2">
      <c r="A365" t="s">
        <v>346</v>
      </c>
      <c r="L365" s="85"/>
      <c r="M365" s="85"/>
    </row>
    <row r="366" spans="1:13" x14ac:dyDescent="0.2">
      <c r="A366" t="s">
        <v>347</v>
      </c>
      <c r="B366" t="s">
        <v>348</v>
      </c>
      <c r="C366" t="s">
        <v>349</v>
      </c>
      <c r="D366" t="s">
        <v>350</v>
      </c>
      <c r="E366" t="s">
        <v>351</v>
      </c>
      <c r="F366" t="s">
        <v>352</v>
      </c>
      <c r="G366" t="s">
        <v>353</v>
      </c>
      <c r="H366" t="s">
        <v>314</v>
      </c>
      <c r="I366" t="s">
        <v>351</v>
      </c>
      <c r="J366" t="s">
        <v>354</v>
      </c>
      <c r="K366" t="s">
        <v>355</v>
      </c>
      <c r="L366" s="85" t="s">
        <v>423</v>
      </c>
      <c r="M366" s="85" t="s">
        <v>424</v>
      </c>
    </row>
    <row r="367" spans="1:13" x14ac:dyDescent="0.2">
      <c r="A367" t="s">
        <v>356</v>
      </c>
      <c r="B367" t="s">
        <v>2</v>
      </c>
      <c r="C367">
        <v>57</v>
      </c>
      <c r="D367">
        <v>224290.2</v>
      </c>
      <c r="E367">
        <v>1.4</v>
      </c>
      <c r="F367">
        <v>239.92</v>
      </c>
      <c r="G367">
        <v>4.0510000000000002</v>
      </c>
      <c r="H367" t="s">
        <v>357</v>
      </c>
      <c r="I367">
        <v>1.7</v>
      </c>
      <c r="J367">
        <v>42416</v>
      </c>
      <c r="K367" t="s">
        <v>319</v>
      </c>
      <c r="L367" s="85"/>
      <c r="M367" s="85"/>
    </row>
    <row r="368" spans="1:13" x14ac:dyDescent="0.2">
      <c r="A368" t="s">
        <v>356</v>
      </c>
      <c r="B368" t="s">
        <v>1</v>
      </c>
      <c r="C368">
        <v>27</v>
      </c>
      <c r="D368">
        <v>4826789.8</v>
      </c>
      <c r="E368">
        <v>0.3</v>
      </c>
      <c r="F368">
        <v>242.04</v>
      </c>
      <c r="G368">
        <v>0.68500000000000005</v>
      </c>
      <c r="H368" t="s">
        <v>357</v>
      </c>
      <c r="I368">
        <v>0.3</v>
      </c>
      <c r="J368">
        <v>15527</v>
      </c>
      <c r="K368" t="s">
        <v>319</v>
      </c>
      <c r="L368" s="85"/>
      <c r="M368" s="85"/>
    </row>
    <row r="369" spans="1:13" x14ac:dyDescent="0.2">
      <c r="A369" t="s">
        <v>356</v>
      </c>
      <c r="B369" t="s">
        <v>227</v>
      </c>
      <c r="C369">
        <v>53</v>
      </c>
      <c r="D369">
        <v>13463.7</v>
      </c>
      <c r="E369">
        <v>0.5</v>
      </c>
      <c r="F369">
        <v>4.9000000000000004</v>
      </c>
      <c r="G369">
        <v>2.4E-2</v>
      </c>
      <c r="H369" t="s">
        <v>357</v>
      </c>
      <c r="I369">
        <v>0.5</v>
      </c>
      <c r="J369">
        <v>328</v>
      </c>
      <c r="K369" t="s">
        <v>319</v>
      </c>
      <c r="L369" s="85"/>
      <c r="M369" s="85"/>
    </row>
    <row r="370" spans="1:13" x14ac:dyDescent="0.2">
      <c r="A370" t="s">
        <v>356</v>
      </c>
      <c r="B370" t="s">
        <v>228</v>
      </c>
      <c r="C370">
        <v>55</v>
      </c>
      <c r="D370">
        <v>875468.6</v>
      </c>
      <c r="E370">
        <v>1.2</v>
      </c>
      <c r="F370">
        <v>23.64</v>
      </c>
      <c r="G370">
        <v>0.27900000000000003</v>
      </c>
      <c r="H370" t="s">
        <v>357</v>
      </c>
      <c r="I370">
        <v>1.2</v>
      </c>
      <c r="J370">
        <v>1912</v>
      </c>
      <c r="K370" t="s">
        <v>319</v>
      </c>
      <c r="L370" s="85"/>
      <c r="M370" s="85"/>
    </row>
    <row r="371" spans="1:13" x14ac:dyDescent="0.2">
      <c r="A371" t="s">
        <v>356</v>
      </c>
      <c r="B371" t="s">
        <v>229</v>
      </c>
      <c r="C371">
        <v>63</v>
      </c>
      <c r="D371">
        <v>343055.8</v>
      </c>
      <c r="E371">
        <v>1</v>
      </c>
      <c r="F371">
        <v>24</v>
      </c>
      <c r="G371">
        <v>0.245</v>
      </c>
      <c r="H371" t="s">
        <v>357</v>
      </c>
      <c r="I371">
        <v>1</v>
      </c>
      <c r="J371">
        <v>694</v>
      </c>
      <c r="K371" t="s">
        <v>319</v>
      </c>
      <c r="L371" s="85"/>
      <c r="M371" s="85"/>
    </row>
    <row r="372" spans="1:13" x14ac:dyDescent="0.2">
      <c r="A372" t="s">
        <v>356</v>
      </c>
      <c r="B372" t="s">
        <v>230</v>
      </c>
      <c r="C372">
        <v>66</v>
      </c>
      <c r="D372">
        <v>80536.100000000006</v>
      </c>
      <c r="E372">
        <v>0.9</v>
      </c>
      <c r="F372">
        <v>23.64</v>
      </c>
      <c r="G372">
        <v>0.224</v>
      </c>
      <c r="H372" t="s">
        <v>357</v>
      </c>
      <c r="I372">
        <v>0.9</v>
      </c>
      <c r="J372">
        <v>255</v>
      </c>
      <c r="K372" t="s">
        <v>319</v>
      </c>
      <c r="L372" s="85"/>
      <c r="M372" s="85"/>
    </row>
    <row r="373" spans="1:13" x14ac:dyDescent="0.2">
      <c r="A373" t="s">
        <v>356</v>
      </c>
      <c r="B373" t="s">
        <v>231</v>
      </c>
      <c r="C373">
        <v>75</v>
      </c>
      <c r="D373">
        <v>15186.7</v>
      </c>
      <c r="E373">
        <v>0.3</v>
      </c>
      <c r="F373">
        <v>4.72</v>
      </c>
      <c r="G373">
        <v>1.4E-2</v>
      </c>
      <c r="H373" t="s">
        <v>357</v>
      </c>
      <c r="I373">
        <v>0.3</v>
      </c>
      <c r="J373">
        <v>35</v>
      </c>
      <c r="K373" t="s">
        <v>319</v>
      </c>
      <c r="L373" s="85"/>
      <c r="M373" s="85"/>
    </row>
    <row r="374" spans="1:13" x14ac:dyDescent="0.2">
      <c r="A374" t="s">
        <v>356</v>
      </c>
      <c r="B374" t="s">
        <v>232</v>
      </c>
      <c r="C374">
        <v>111</v>
      </c>
      <c r="D374">
        <v>20314.099999999999</v>
      </c>
      <c r="E374">
        <v>0.4</v>
      </c>
      <c r="F374">
        <v>4.76</v>
      </c>
      <c r="G374">
        <v>1.7000000000000001E-2</v>
      </c>
      <c r="H374" t="s">
        <v>357</v>
      </c>
      <c r="I374">
        <v>0.4</v>
      </c>
      <c r="J374">
        <v>25</v>
      </c>
      <c r="K374" t="s">
        <v>319</v>
      </c>
      <c r="L374" s="85"/>
      <c r="M374" s="85"/>
    </row>
    <row r="375" spans="1:13" x14ac:dyDescent="0.2">
      <c r="A375" t="s">
        <v>356</v>
      </c>
      <c r="B375" t="s">
        <v>233</v>
      </c>
      <c r="C375">
        <v>118</v>
      </c>
      <c r="D375">
        <v>57699.3</v>
      </c>
      <c r="E375">
        <v>0.9</v>
      </c>
      <c r="F375">
        <v>4.7699999999999996</v>
      </c>
      <c r="G375">
        <v>4.2999999999999997E-2</v>
      </c>
      <c r="H375" t="s">
        <v>357</v>
      </c>
      <c r="I375">
        <v>0.9</v>
      </c>
      <c r="J375">
        <v>217</v>
      </c>
      <c r="K375" t="s">
        <v>319</v>
      </c>
      <c r="L375" s="85"/>
      <c r="M375" s="85"/>
    </row>
    <row r="376" spans="1:13" x14ac:dyDescent="0.2">
      <c r="A376" t="s">
        <v>356</v>
      </c>
      <c r="B376" t="s">
        <v>234</v>
      </c>
      <c r="C376">
        <v>206</v>
      </c>
      <c r="D376">
        <v>48272.1</v>
      </c>
      <c r="E376">
        <v>0.9</v>
      </c>
      <c r="F376">
        <v>4.9800000000000004</v>
      </c>
      <c r="G376">
        <v>4.5999999999999999E-2</v>
      </c>
      <c r="H376" t="s">
        <v>357</v>
      </c>
      <c r="I376">
        <v>0.9</v>
      </c>
      <c r="J376">
        <v>453</v>
      </c>
      <c r="K376" t="s">
        <v>319</v>
      </c>
      <c r="L376" s="145">
        <v>0.24099999999999999</v>
      </c>
      <c r="M376" s="85">
        <f>F376*L376</f>
        <v>1.20018</v>
      </c>
    </row>
    <row r="377" spans="1:13" x14ac:dyDescent="0.2">
      <c r="A377" t="s">
        <v>356</v>
      </c>
      <c r="B377" t="s">
        <v>234</v>
      </c>
      <c r="C377">
        <v>207</v>
      </c>
      <c r="D377">
        <v>37135.199999999997</v>
      </c>
      <c r="E377">
        <v>0.9</v>
      </c>
      <c r="F377">
        <v>4.9800000000000004</v>
      </c>
      <c r="G377">
        <v>4.4999999999999998E-2</v>
      </c>
      <c r="H377" t="s">
        <v>357</v>
      </c>
      <c r="I377">
        <v>0.9</v>
      </c>
      <c r="J377">
        <v>397</v>
      </c>
      <c r="K377" t="s">
        <v>319</v>
      </c>
      <c r="L377" s="145">
        <v>0.221</v>
      </c>
      <c r="M377" s="85">
        <f t="shared" ref="M377:M378" si="20">F377*L377</f>
        <v>1.1005800000000001</v>
      </c>
    </row>
    <row r="378" spans="1:13" x14ac:dyDescent="0.2">
      <c r="A378" t="s">
        <v>356</v>
      </c>
      <c r="B378" t="s">
        <v>234</v>
      </c>
      <c r="C378">
        <v>208</v>
      </c>
      <c r="D378">
        <v>92761.2</v>
      </c>
      <c r="E378">
        <v>0.2</v>
      </c>
      <c r="F378">
        <v>4.95</v>
      </c>
      <c r="G378">
        <v>1.2E-2</v>
      </c>
      <c r="H378" t="s">
        <v>357</v>
      </c>
      <c r="I378">
        <v>0.2</v>
      </c>
      <c r="J378">
        <v>1028</v>
      </c>
      <c r="K378" t="s">
        <v>319</v>
      </c>
      <c r="L378" s="145">
        <v>0.52400000000000002</v>
      </c>
      <c r="M378" s="85">
        <f t="shared" si="20"/>
        <v>2.5938000000000003</v>
      </c>
    </row>
    <row r="379" spans="1:13" x14ac:dyDescent="0.2">
      <c r="A379" t="s">
        <v>338</v>
      </c>
      <c r="M379" s="85"/>
    </row>
    <row r="380" spans="1:13" x14ac:dyDescent="0.2">
      <c r="A380" t="s">
        <v>339</v>
      </c>
      <c r="B380" t="s">
        <v>362</v>
      </c>
      <c r="M380" s="85"/>
    </row>
    <row r="381" spans="1:13" x14ac:dyDescent="0.2">
      <c r="A381" t="s">
        <v>341</v>
      </c>
      <c r="B381" t="s">
        <v>342</v>
      </c>
      <c r="C381" t="s">
        <v>343</v>
      </c>
      <c r="D381" t="s">
        <v>384</v>
      </c>
      <c r="M381" s="85"/>
    </row>
    <row r="382" spans="1:13" x14ac:dyDescent="0.2">
      <c r="A382" t="s">
        <v>345</v>
      </c>
      <c r="M382" s="85"/>
    </row>
    <row r="383" spans="1:13" x14ac:dyDescent="0.2">
      <c r="A383" t="s">
        <v>346</v>
      </c>
      <c r="M383" s="85"/>
    </row>
    <row r="384" spans="1:13" x14ac:dyDescent="0.2">
      <c r="A384" t="s">
        <v>347</v>
      </c>
      <c r="B384" t="s">
        <v>348</v>
      </c>
      <c r="C384" t="s">
        <v>349</v>
      </c>
      <c r="D384" t="s">
        <v>350</v>
      </c>
      <c r="E384" t="s">
        <v>351</v>
      </c>
      <c r="F384" t="s">
        <v>352</v>
      </c>
      <c r="G384" t="s">
        <v>353</v>
      </c>
      <c r="H384" t="s">
        <v>314</v>
      </c>
      <c r="I384" t="s">
        <v>351</v>
      </c>
      <c r="J384" t="s">
        <v>354</v>
      </c>
      <c r="K384" t="s">
        <v>355</v>
      </c>
      <c r="L384" s="85" t="s">
        <v>423</v>
      </c>
      <c r="M384" s="85" t="s">
        <v>424</v>
      </c>
    </row>
    <row r="385" spans="1:13" x14ac:dyDescent="0.2">
      <c r="A385" t="s">
        <v>356</v>
      </c>
      <c r="B385" t="s">
        <v>2</v>
      </c>
      <c r="C385">
        <v>57</v>
      </c>
      <c r="D385">
        <v>311343.90000000002</v>
      </c>
      <c r="E385">
        <v>0.4</v>
      </c>
      <c r="F385">
        <v>360</v>
      </c>
      <c r="G385">
        <v>1.7569999999999999</v>
      </c>
      <c r="H385" t="s">
        <v>357</v>
      </c>
      <c r="I385">
        <v>0.5</v>
      </c>
      <c r="J385">
        <v>42416</v>
      </c>
      <c r="K385" t="s">
        <v>319</v>
      </c>
      <c r="L385" s="85"/>
      <c r="M385" s="85"/>
    </row>
    <row r="386" spans="1:13" x14ac:dyDescent="0.2">
      <c r="A386" t="s">
        <v>356</v>
      </c>
      <c r="B386" t="s">
        <v>1</v>
      </c>
      <c r="C386">
        <v>27</v>
      </c>
      <c r="D386">
        <v>7246563.4000000004</v>
      </c>
      <c r="E386">
        <v>0.5</v>
      </c>
      <c r="F386">
        <v>366.43</v>
      </c>
      <c r="G386">
        <v>1.819</v>
      </c>
      <c r="H386" t="s">
        <v>357</v>
      </c>
      <c r="I386">
        <v>0.5</v>
      </c>
      <c r="J386">
        <v>15527</v>
      </c>
      <c r="K386" t="s">
        <v>319</v>
      </c>
      <c r="L386" s="85"/>
      <c r="M386" s="85"/>
    </row>
    <row r="387" spans="1:13" x14ac:dyDescent="0.2">
      <c r="A387" t="s">
        <v>356</v>
      </c>
      <c r="B387" t="s">
        <v>227</v>
      </c>
      <c r="C387">
        <v>53</v>
      </c>
      <c r="D387">
        <v>20057.400000000001</v>
      </c>
      <c r="E387">
        <v>1.3</v>
      </c>
      <c r="F387">
        <v>7.41</v>
      </c>
      <c r="G387">
        <v>9.5000000000000001E-2</v>
      </c>
      <c r="H387" t="s">
        <v>357</v>
      </c>
      <c r="I387">
        <v>1.3</v>
      </c>
      <c r="J387">
        <v>328</v>
      </c>
      <c r="K387" t="s">
        <v>319</v>
      </c>
      <c r="L387" s="85"/>
      <c r="M387" s="85"/>
    </row>
    <row r="388" spans="1:13" x14ac:dyDescent="0.2">
      <c r="A388" t="s">
        <v>356</v>
      </c>
      <c r="B388" t="s">
        <v>228</v>
      </c>
      <c r="C388">
        <v>55</v>
      </c>
      <c r="D388">
        <v>1306813.3</v>
      </c>
      <c r="E388">
        <v>0.8</v>
      </c>
      <c r="F388">
        <v>35.979999999999997</v>
      </c>
      <c r="G388">
        <v>0.27200000000000002</v>
      </c>
      <c r="H388" t="s">
        <v>357</v>
      </c>
      <c r="I388">
        <v>0.8</v>
      </c>
      <c r="J388">
        <v>1912</v>
      </c>
      <c r="K388" t="s">
        <v>319</v>
      </c>
      <c r="L388" s="85"/>
      <c r="M388" s="85"/>
    </row>
    <row r="389" spans="1:13" x14ac:dyDescent="0.2">
      <c r="A389" t="s">
        <v>356</v>
      </c>
      <c r="B389" t="s">
        <v>229</v>
      </c>
      <c r="C389">
        <v>63</v>
      </c>
      <c r="D389">
        <v>511232.2</v>
      </c>
      <c r="E389">
        <v>1.2</v>
      </c>
      <c r="F389">
        <v>36.33</v>
      </c>
      <c r="G389">
        <v>0.432</v>
      </c>
      <c r="H389" t="s">
        <v>357</v>
      </c>
      <c r="I389">
        <v>1.2</v>
      </c>
      <c r="J389">
        <v>694</v>
      </c>
      <c r="K389" t="s">
        <v>319</v>
      </c>
      <c r="L389" s="85"/>
      <c r="M389" s="85"/>
    </row>
    <row r="390" spans="1:13" x14ac:dyDescent="0.2">
      <c r="A390" t="s">
        <v>356</v>
      </c>
      <c r="B390" t="s">
        <v>230</v>
      </c>
      <c r="C390">
        <v>66</v>
      </c>
      <c r="D390">
        <v>120810</v>
      </c>
      <c r="E390">
        <v>0.6</v>
      </c>
      <c r="F390">
        <v>36.04</v>
      </c>
      <c r="G390">
        <v>0.23300000000000001</v>
      </c>
      <c r="H390" t="s">
        <v>357</v>
      </c>
      <c r="I390">
        <v>0.6</v>
      </c>
      <c r="J390">
        <v>255</v>
      </c>
      <c r="K390" t="s">
        <v>319</v>
      </c>
      <c r="L390" s="85"/>
      <c r="M390" s="85"/>
    </row>
    <row r="391" spans="1:13" x14ac:dyDescent="0.2">
      <c r="A391" t="s">
        <v>356</v>
      </c>
      <c r="B391" t="s">
        <v>231</v>
      </c>
      <c r="C391">
        <v>75</v>
      </c>
      <c r="D391">
        <v>22340.1</v>
      </c>
      <c r="E391">
        <v>0.4</v>
      </c>
      <c r="F391">
        <v>7.08</v>
      </c>
      <c r="G391">
        <v>2.5999999999999999E-2</v>
      </c>
      <c r="H391" t="s">
        <v>357</v>
      </c>
      <c r="I391">
        <v>0.4</v>
      </c>
      <c r="J391">
        <v>35</v>
      </c>
      <c r="K391" t="s">
        <v>319</v>
      </c>
      <c r="L391" s="85"/>
      <c r="M391" s="85"/>
    </row>
    <row r="392" spans="1:13" x14ac:dyDescent="0.2">
      <c r="A392" t="s">
        <v>356</v>
      </c>
      <c r="B392" t="s">
        <v>232</v>
      </c>
      <c r="C392">
        <v>111</v>
      </c>
      <c r="D392">
        <v>30627.8</v>
      </c>
      <c r="E392">
        <v>0.3</v>
      </c>
      <c r="F392">
        <v>7.3</v>
      </c>
      <c r="G392">
        <v>2.1000000000000001E-2</v>
      </c>
      <c r="H392" t="s">
        <v>357</v>
      </c>
      <c r="I392">
        <v>0.3</v>
      </c>
      <c r="J392">
        <v>25</v>
      </c>
      <c r="K392" t="s">
        <v>319</v>
      </c>
      <c r="L392" s="85"/>
      <c r="M392" s="85"/>
    </row>
    <row r="393" spans="1:13" x14ac:dyDescent="0.2">
      <c r="A393" t="s">
        <v>356</v>
      </c>
      <c r="B393" t="s">
        <v>233</v>
      </c>
      <c r="C393">
        <v>118</v>
      </c>
      <c r="D393">
        <v>86549.4</v>
      </c>
      <c r="E393">
        <v>1</v>
      </c>
      <c r="F393">
        <v>7.3</v>
      </c>
      <c r="G393">
        <v>7.5999999999999998E-2</v>
      </c>
      <c r="H393" t="s">
        <v>357</v>
      </c>
      <c r="I393">
        <v>1</v>
      </c>
      <c r="J393">
        <v>217</v>
      </c>
      <c r="K393" t="s">
        <v>319</v>
      </c>
      <c r="L393" s="85"/>
      <c r="M393" s="85"/>
    </row>
    <row r="394" spans="1:13" x14ac:dyDescent="0.2">
      <c r="A394" t="s">
        <v>356</v>
      </c>
      <c r="B394" t="s">
        <v>234</v>
      </c>
      <c r="C394">
        <v>206</v>
      </c>
      <c r="D394">
        <v>72005.7</v>
      </c>
      <c r="E394">
        <v>0.7</v>
      </c>
      <c r="F394">
        <v>7.45</v>
      </c>
      <c r="G394">
        <v>4.9000000000000002E-2</v>
      </c>
      <c r="H394" t="s">
        <v>357</v>
      </c>
      <c r="I394">
        <v>0.7</v>
      </c>
      <c r="J394">
        <v>453</v>
      </c>
      <c r="K394" t="s">
        <v>319</v>
      </c>
      <c r="L394" s="145">
        <v>0.24099999999999999</v>
      </c>
      <c r="M394" s="85">
        <f>F394*L394</f>
        <v>1.79545</v>
      </c>
    </row>
    <row r="395" spans="1:13" x14ac:dyDescent="0.2">
      <c r="A395" t="s">
        <v>356</v>
      </c>
      <c r="B395" t="s">
        <v>234</v>
      </c>
      <c r="C395">
        <v>207</v>
      </c>
      <c r="D395">
        <v>55609.7</v>
      </c>
      <c r="E395">
        <v>0.4</v>
      </c>
      <c r="F395">
        <v>7.47</v>
      </c>
      <c r="G395">
        <v>0.03</v>
      </c>
      <c r="H395" t="s">
        <v>357</v>
      </c>
      <c r="I395">
        <v>0.4</v>
      </c>
      <c r="J395">
        <v>397</v>
      </c>
      <c r="K395" t="s">
        <v>319</v>
      </c>
      <c r="L395" s="145">
        <v>0.221</v>
      </c>
      <c r="M395" s="85">
        <f t="shared" ref="M395:M396" si="21">F395*L395</f>
        <v>1.6508700000000001</v>
      </c>
    </row>
    <row r="396" spans="1:13" x14ac:dyDescent="0.2">
      <c r="A396" t="s">
        <v>356</v>
      </c>
      <c r="B396" t="s">
        <v>234</v>
      </c>
      <c r="C396">
        <v>208</v>
      </c>
      <c r="D396">
        <v>139423.70000000001</v>
      </c>
      <c r="E396">
        <v>0.3</v>
      </c>
      <c r="F396">
        <v>7.45</v>
      </c>
      <c r="G396">
        <v>2.4E-2</v>
      </c>
      <c r="H396" t="s">
        <v>357</v>
      </c>
      <c r="I396">
        <v>0.3</v>
      </c>
      <c r="J396">
        <v>1028</v>
      </c>
      <c r="K396" t="s">
        <v>319</v>
      </c>
      <c r="L396" s="145">
        <v>0.52400000000000002</v>
      </c>
      <c r="M396" s="85">
        <f t="shared" si="21"/>
        <v>3.9038000000000004</v>
      </c>
    </row>
    <row r="397" spans="1:13" x14ac:dyDescent="0.2">
      <c r="A397" t="s">
        <v>338</v>
      </c>
      <c r="L397" s="85"/>
      <c r="M397" s="85"/>
    </row>
    <row r="398" spans="1:13" x14ac:dyDescent="0.2">
      <c r="A398" t="s">
        <v>339</v>
      </c>
      <c r="B398" t="s">
        <v>364</v>
      </c>
      <c r="L398" s="85"/>
      <c r="M398" s="85"/>
    </row>
    <row r="399" spans="1:13" x14ac:dyDescent="0.2">
      <c r="A399" t="s">
        <v>341</v>
      </c>
      <c r="B399" t="s">
        <v>342</v>
      </c>
      <c r="C399" t="s">
        <v>343</v>
      </c>
      <c r="D399" t="s">
        <v>385</v>
      </c>
      <c r="L399" s="85"/>
      <c r="M399" s="85"/>
    </row>
    <row r="400" spans="1:13" x14ac:dyDescent="0.2">
      <c r="A400" t="s">
        <v>345</v>
      </c>
      <c r="L400" s="85"/>
      <c r="M400" s="85"/>
    </row>
    <row r="401" spans="1:13" x14ac:dyDescent="0.2">
      <c r="A401" t="s">
        <v>346</v>
      </c>
      <c r="L401" s="85"/>
      <c r="M401" s="85"/>
    </row>
    <row r="402" spans="1:13" x14ac:dyDescent="0.2">
      <c r="A402" t="s">
        <v>347</v>
      </c>
      <c r="B402" t="s">
        <v>348</v>
      </c>
      <c r="C402" t="s">
        <v>349</v>
      </c>
      <c r="D402" t="s">
        <v>350</v>
      </c>
      <c r="E402" t="s">
        <v>351</v>
      </c>
      <c r="F402" t="s">
        <v>352</v>
      </c>
      <c r="G402" t="s">
        <v>353</v>
      </c>
      <c r="H402" t="s">
        <v>314</v>
      </c>
      <c r="I402" t="s">
        <v>351</v>
      </c>
      <c r="J402" t="s">
        <v>354</v>
      </c>
      <c r="K402" t="s">
        <v>355</v>
      </c>
      <c r="L402" s="85" t="s">
        <v>423</v>
      </c>
      <c r="M402" s="85" t="s">
        <v>424</v>
      </c>
    </row>
    <row r="403" spans="1:13" x14ac:dyDescent="0.2">
      <c r="A403" t="s">
        <v>356</v>
      </c>
      <c r="B403" t="s">
        <v>2</v>
      </c>
      <c r="C403">
        <v>57</v>
      </c>
      <c r="D403">
        <v>406355.3</v>
      </c>
      <c r="E403">
        <v>0.2</v>
      </c>
      <c r="F403">
        <v>502.32</v>
      </c>
      <c r="G403">
        <v>1.401</v>
      </c>
      <c r="H403" t="s">
        <v>357</v>
      </c>
      <c r="I403">
        <v>0.3</v>
      </c>
      <c r="J403">
        <v>42416</v>
      </c>
      <c r="K403" t="s">
        <v>319</v>
      </c>
      <c r="L403" s="85"/>
      <c r="M403" s="85"/>
    </row>
    <row r="404" spans="1:13" x14ac:dyDescent="0.2">
      <c r="A404" t="s">
        <v>356</v>
      </c>
      <c r="B404" t="s">
        <v>1</v>
      </c>
      <c r="C404">
        <v>27</v>
      </c>
      <c r="D404">
        <v>9698631.5</v>
      </c>
      <c r="E404">
        <v>0.7</v>
      </c>
      <c r="F404">
        <v>500.8</v>
      </c>
      <c r="G404">
        <v>3.339</v>
      </c>
      <c r="H404" t="s">
        <v>357</v>
      </c>
      <c r="I404">
        <v>0.7</v>
      </c>
      <c r="J404">
        <v>15527</v>
      </c>
      <c r="K404" t="s">
        <v>319</v>
      </c>
      <c r="L404" s="85"/>
      <c r="M404" s="85"/>
    </row>
    <row r="405" spans="1:13" x14ac:dyDescent="0.2">
      <c r="A405" t="s">
        <v>356</v>
      </c>
      <c r="B405" t="s">
        <v>227</v>
      </c>
      <c r="C405">
        <v>53</v>
      </c>
      <c r="D405">
        <v>26373</v>
      </c>
      <c r="E405">
        <v>0.5</v>
      </c>
      <c r="F405">
        <v>9.9499999999999993</v>
      </c>
      <c r="G405">
        <v>4.9000000000000002E-2</v>
      </c>
      <c r="H405" t="s">
        <v>357</v>
      </c>
      <c r="I405">
        <v>0.5</v>
      </c>
      <c r="J405">
        <v>328</v>
      </c>
      <c r="K405" t="s">
        <v>319</v>
      </c>
      <c r="L405" s="85"/>
      <c r="M405" s="85"/>
    </row>
    <row r="406" spans="1:13" x14ac:dyDescent="0.2">
      <c r="A406" t="s">
        <v>356</v>
      </c>
      <c r="B406" t="s">
        <v>228</v>
      </c>
      <c r="C406">
        <v>55</v>
      </c>
      <c r="D406">
        <v>1781202.8</v>
      </c>
      <c r="E406">
        <v>0.7</v>
      </c>
      <c r="F406">
        <v>50.46</v>
      </c>
      <c r="G406">
        <v>0.35</v>
      </c>
      <c r="H406" t="s">
        <v>357</v>
      </c>
      <c r="I406">
        <v>0.7</v>
      </c>
      <c r="J406">
        <v>1912</v>
      </c>
      <c r="K406" t="s">
        <v>319</v>
      </c>
      <c r="L406" s="85"/>
      <c r="M406" s="85"/>
    </row>
    <row r="407" spans="1:13" x14ac:dyDescent="0.2">
      <c r="A407" t="s">
        <v>356</v>
      </c>
      <c r="B407" t="s">
        <v>229</v>
      </c>
      <c r="C407">
        <v>63</v>
      </c>
      <c r="D407">
        <v>689935.2</v>
      </c>
      <c r="E407">
        <v>0.5</v>
      </c>
      <c r="F407">
        <v>50.26</v>
      </c>
      <c r="G407">
        <v>0.26800000000000002</v>
      </c>
      <c r="H407" t="s">
        <v>357</v>
      </c>
      <c r="I407">
        <v>0.5</v>
      </c>
      <c r="J407">
        <v>694</v>
      </c>
      <c r="K407" t="s">
        <v>319</v>
      </c>
      <c r="L407" s="85"/>
      <c r="M407" s="85"/>
    </row>
    <row r="408" spans="1:13" x14ac:dyDescent="0.2">
      <c r="A408" t="s">
        <v>356</v>
      </c>
      <c r="B408" t="s">
        <v>230</v>
      </c>
      <c r="C408">
        <v>66</v>
      </c>
      <c r="D408">
        <v>164148.4</v>
      </c>
      <c r="E408">
        <v>0.5</v>
      </c>
      <c r="F408">
        <v>50.4</v>
      </c>
      <c r="G408">
        <v>0.23899999999999999</v>
      </c>
      <c r="H408" t="s">
        <v>357</v>
      </c>
      <c r="I408">
        <v>0.5</v>
      </c>
      <c r="J408">
        <v>255</v>
      </c>
      <c r="K408" t="s">
        <v>319</v>
      </c>
      <c r="L408" s="85"/>
      <c r="M408" s="85"/>
    </row>
    <row r="409" spans="1:13" x14ac:dyDescent="0.2">
      <c r="A409" t="s">
        <v>356</v>
      </c>
      <c r="B409" t="s">
        <v>231</v>
      </c>
      <c r="C409">
        <v>75</v>
      </c>
      <c r="D409">
        <v>31468</v>
      </c>
      <c r="E409">
        <v>0.5</v>
      </c>
      <c r="F409">
        <v>10.199999999999999</v>
      </c>
      <c r="G409">
        <v>5.6000000000000001E-2</v>
      </c>
      <c r="H409" t="s">
        <v>357</v>
      </c>
      <c r="I409">
        <v>0.5</v>
      </c>
      <c r="J409">
        <v>35</v>
      </c>
      <c r="K409" t="s">
        <v>319</v>
      </c>
      <c r="L409" s="85"/>
      <c r="M409" s="85"/>
    </row>
    <row r="410" spans="1:13" x14ac:dyDescent="0.2">
      <c r="A410" t="s">
        <v>356</v>
      </c>
      <c r="B410" t="s">
        <v>232</v>
      </c>
      <c r="C410">
        <v>111</v>
      </c>
      <c r="D410">
        <v>41557.699999999997</v>
      </c>
      <c r="E410">
        <v>0.8</v>
      </c>
      <c r="F410">
        <v>10.09</v>
      </c>
      <c r="G410">
        <v>0.08</v>
      </c>
      <c r="H410" t="s">
        <v>357</v>
      </c>
      <c r="I410">
        <v>0.8</v>
      </c>
      <c r="J410">
        <v>25</v>
      </c>
      <c r="K410" t="s">
        <v>319</v>
      </c>
      <c r="L410" s="85"/>
      <c r="M410" s="85"/>
    </row>
    <row r="411" spans="1:13" x14ac:dyDescent="0.2">
      <c r="A411" t="s">
        <v>356</v>
      </c>
      <c r="B411" t="s">
        <v>233</v>
      </c>
      <c r="C411">
        <v>118</v>
      </c>
      <c r="D411">
        <v>115394.9</v>
      </c>
      <c r="E411">
        <v>0.8</v>
      </c>
      <c r="F411">
        <v>10.01</v>
      </c>
      <c r="G411">
        <v>8.2000000000000003E-2</v>
      </c>
      <c r="H411" t="s">
        <v>357</v>
      </c>
      <c r="I411">
        <v>0.8</v>
      </c>
      <c r="J411">
        <v>217</v>
      </c>
      <c r="K411" t="s">
        <v>319</v>
      </c>
      <c r="L411" s="85"/>
      <c r="M411" s="85"/>
    </row>
    <row r="412" spans="1:13" x14ac:dyDescent="0.2">
      <c r="A412" t="s">
        <v>356</v>
      </c>
      <c r="B412" t="s">
        <v>234</v>
      </c>
      <c r="C412">
        <v>206</v>
      </c>
      <c r="D412">
        <v>96797.2</v>
      </c>
      <c r="E412">
        <v>0.9</v>
      </c>
      <c r="F412">
        <v>10.039999999999999</v>
      </c>
      <c r="G412">
        <v>9.2999999999999999E-2</v>
      </c>
      <c r="H412" t="s">
        <v>357</v>
      </c>
      <c r="I412">
        <v>0.9</v>
      </c>
      <c r="J412">
        <v>453</v>
      </c>
      <c r="K412" t="s">
        <v>319</v>
      </c>
      <c r="L412" s="145">
        <v>0.24099999999999999</v>
      </c>
      <c r="M412" s="85">
        <f>F412*L412</f>
        <v>2.4196399999999998</v>
      </c>
    </row>
    <row r="413" spans="1:13" x14ac:dyDescent="0.2">
      <c r="A413" t="s">
        <v>356</v>
      </c>
      <c r="B413" t="s">
        <v>234</v>
      </c>
      <c r="C413">
        <v>207</v>
      </c>
      <c r="D413">
        <v>73888.600000000006</v>
      </c>
      <c r="E413">
        <v>0.9</v>
      </c>
      <c r="F413">
        <v>10</v>
      </c>
      <c r="G413">
        <v>9.5000000000000001E-2</v>
      </c>
      <c r="H413" t="s">
        <v>357</v>
      </c>
      <c r="I413">
        <v>0.9</v>
      </c>
      <c r="J413">
        <v>397</v>
      </c>
      <c r="K413" t="s">
        <v>319</v>
      </c>
      <c r="L413" s="145">
        <v>0.221</v>
      </c>
      <c r="M413" s="85">
        <f t="shared" ref="M413:M414" si="22">F413*L413</f>
        <v>2.21</v>
      </c>
    </row>
    <row r="414" spans="1:13" x14ac:dyDescent="0.2">
      <c r="A414" t="s">
        <v>356</v>
      </c>
      <c r="B414" t="s">
        <v>234</v>
      </c>
      <c r="C414">
        <v>208</v>
      </c>
      <c r="D414">
        <v>187329.6</v>
      </c>
      <c r="E414">
        <v>0.3</v>
      </c>
      <c r="F414">
        <v>10.050000000000001</v>
      </c>
      <c r="G414">
        <v>2.9000000000000001E-2</v>
      </c>
      <c r="H414" t="s">
        <v>357</v>
      </c>
      <c r="I414">
        <v>0.3</v>
      </c>
      <c r="J414">
        <v>1028</v>
      </c>
      <c r="K414" t="s">
        <v>319</v>
      </c>
      <c r="L414" s="145">
        <v>0.52400000000000002</v>
      </c>
      <c r="M414" s="85">
        <f t="shared" si="22"/>
        <v>5.2662000000000004</v>
      </c>
    </row>
    <row r="415" spans="1:13" x14ac:dyDescent="0.2">
      <c r="A415" t="s">
        <v>338</v>
      </c>
      <c r="L415" s="85"/>
      <c r="M415" s="85"/>
    </row>
    <row r="416" spans="1:13" x14ac:dyDescent="0.2">
      <c r="A416" t="s">
        <v>339</v>
      </c>
      <c r="B416" t="s">
        <v>235</v>
      </c>
      <c r="L416" s="85"/>
      <c r="M416" s="85"/>
    </row>
    <row r="417" spans="1:13" x14ac:dyDescent="0.2">
      <c r="A417" t="s">
        <v>341</v>
      </c>
      <c r="B417" t="s">
        <v>342</v>
      </c>
      <c r="C417" t="s">
        <v>343</v>
      </c>
      <c r="D417" t="s">
        <v>386</v>
      </c>
      <c r="L417" s="85"/>
      <c r="M417" s="85"/>
    </row>
    <row r="418" spans="1:13" x14ac:dyDescent="0.2">
      <c r="A418" t="s">
        <v>345</v>
      </c>
      <c r="L418" s="85"/>
      <c r="M418" s="85"/>
    </row>
    <row r="419" spans="1:13" x14ac:dyDescent="0.2">
      <c r="A419" t="s">
        <v>346</v>
      </c>
      <c r="L419" s="85"/>
      <c r="M419" s="85"/>
    </row>
    <row r="420" spans="1:13" x14ac:dyDescent="0.2">
      <c r="A420" t="s">
        <v>347</v>
      </c>
      <c r="B420" t="s">
        <v>348</v>
      </c>
      <c r="C420" t="s">
        <v>349</v>
      </c>
      <c r="D420" t="s">
        <v>350</v>
      </c>
      <c r="E420" t="s">
        <v>351</v>
      </c>
      <c r="F420" t="s">
        <v>352</v>
      </c>
      <c r="G420" t="s">
        <v>353</v>
      </c>
      <c r="H420" t="s">
        <v>314</v>
      </c>
      <c r="I420" t="s">
        <v>351</v>
      </c>
      <c r="J420" t="s">
        <v>354</v>
      </c>
      <c r="K420" t="s">
        <v>355</v>
      </c>
      <c r="L420" s="85" t="s">
        <v>423</v>
      </c>
      <c r="M420" s="85" t="s">
        <v>424</v>
      </c>
    </row>
    <row r="421" spans="1:13" x14ac:dyDescent="0.2">
      <c r="A421" t="s">
        <v>356</v>
      </c>
      <c r="B421" t="s">
        <v>2</v>
      </c>
      <c r="C421">
        <v>57</v>
      </c>
      <c r="D421">
        <v>188336.7</v>
      </c>
      <c r="E421">
        <v>0.4</v>
      </c>
      <c r="F421">
        <v>201.4</v>
      </c>
      <c r="G421">
        <v>1.107</v>
      </c>
      <c r="H421" t="s">
        <v>357</v>
      </c>
      <c r="I421">
        <v>0.5</v>
      </c>
      <c r="J421">
        <v>42416</v>
      </c>
      <c r="K421" t="s">
        <v>319</v>
      </c>
      <c r="L421" s="85"/>
      <c r="M421" s="85"/>
    </row>
    <row r="422" spans="1:13" x14ac:dyDescent="0.2">
      <c r="A422" t="s">
        <v>356</v>
      </c>
      <c r="B422" t="s">
        <v>1</v>
      </c>
      <c r="C422">
        <v>27</v>
      </c>
      <c r="D422">
        <v>2382284.9</v>
      </c>
      <c r="E422">
        <v>0.5</v>
      </c>
      <c r="F422">
        <v>122.41</v>
      </c>
      <c r="G422">
        <v>0.61</v>
      </c>
      <c r="H422" t="s">
        <v>357</v>
      </c>
      <c r="I422">
        <v>0.5</v>
      </c>
      <c r="J422">
        <v>15527</v>
      </c>
      <c r="K422" t="s">
        <v>319</v>
      </c>
      <c r="L422" s="85"/>
      <c r="M422" s="85"/>
    </row>
    <row r="423" spans="1:13" x14ac:dyDescent="0.2">
      <c r="A423" t="s">
        <v>356</v>
      </c>
      <c r="B423" t="s">
        <v>227</v>
      </c>
      <c r="C423">
        <v>53</v>
      </c>
      <c r="D423">
        <v>966.7</v>
      </c>
      <c r="E423">
        <v>1.2</v>
      </c>
      <c r="F423">
        <v>0.24</v>
      </c>
      <c r="G423">
        <v>5.0000000000000001E-3</v>
      </c>
      <c r="H423" t="s">
        <v>357</v>
      </c>
      <c r="I423">
        <v>1.9</v>
      </c>
      <c r="J423">
        <v>328</v>
      </c>
      <c r="K423" t="s">
        <v>319</v>
      </c>
      <c r="L423" s="85"/>
      <c r="M423" s="85"/>
    </row>
    <row r="424" spans="1:13" x14ac:dyDescent="0.2">
      <c r="A424" t="s">
        <v>356</v>
      </c>
      <c r="B424" t="s">
        <v>228</v>
      </c>
      <c r="C424">
        <v>55</v>
      </c>
      <c r="D424">
        <v>808399.2</v>
      </c>
      <c r="E424">
        <v>0.7</v>
      </c>
      <c r="F424">
        <v>22.87</v>
      </c>
      <c r="G424">
        <v>0.161</v>
      </c>
      <c r="H424" t="s">
        <v>357</v>
      </c>
      <c r="I424">
        <v>0.7</v>
      </c>
      <c r="J424">
        <v>1912</v>
      </c>
      <c r="K424" t="s">
        <v>319</v>
      </c>
      <c r="L424" s="85"/>
      <c r="M424" s="85"/>
    </row>
    <row r="425" spans="1:13" x14ac:dyDescent="0.2">
      <c r="A425" t="s">
        <v>356</v>
      </c>
      <c r="B425" t="s">
        <v>229</v>
      </c>
      <c r="C425">
        <v>63</v>
      </c>
      <c r="D425">
        <v>11763.5</v>
      </c>
      <c r="E425">
        <v>1.5</v>
      </c>
      <c r="F425">
        <v>0.81</v>
      </c>
      <c r="G425">
        <v>1.2999999999999999E-2</v>
      </c>
      <c r="H425" t="s">
        <v>357</v>
      </c>
      <c r="I425">
        <v>1.6</v>
      </c>
      <c r="J425">
        <v>694</v>
      </c>
      <c r="K425" t="s">
        <v>319</v>
      </c>
      <c r="L425" s="85"/>
      <c r="M425" s="85"/>
    </row>
    <row r="426" spans="1:13" x14ac:dyDescent="0.2">
      <c r="A426" t="s">
        <v>356</v>
      </c>
      <c r="B426" t="s">
        <v>230</v>
      </c>
      <c r="C426">
        <v>66</v>
      </c>
      <c r="D426">
        <v>15493.4</v>
      </c>
      <c r="E426">
        <v>0.6</v>
      </c>
      <c r="F426">
        <v>4.6900000000000004</v>
      </c>
      <c r="G426">
        <v>2.8000000000000001E-2</v>
      </c>
      <c r="H426" t="s">
        <v>357</v>
      </c>
      <c r="I426">
        <v>0.6</v>
      </c>
      <c r="J426">
        <v>255</v>
      </c>
      <c r="K426" t="s">
        <v>319</v>
      </c>
      <c r="L426" s="85"/>
      <c r="M426" s="85"/>
    </row>
    <row r="427" spans="1:13" x14ac:dyDescent="0.2">
      <c r="A427" t="s">
        <v>356</v>
      </c>
      <c r="B427" t="s">
        <v>231</v>
      </c>
      <c r="C427">
        <v>75</v>
      </c>
      <c r="D427">
        <v>752.7</v>
      </c>
      <c r="E427">
        <v>1.9</v>
      </c>
      <c r="F427">
        <v>0.23</v>
      </c>
      <c r="G427">
        <v>5.0000000000000001E-3</v>
      </c>
      <c r="H427" t="s">
        <v>357</v>
      </c>
      <c r="I427">
        <v>2</v>
      </c>
      <c r="J427">
        <v>35</v>
      </c>
      <c r="K427" t="s">
        <v>319</v>
      </c>
      <c r="L427" s="85"/>
      <c r="M427" s="85"/>
    </row>
    <row r="428" spans="1:13" x14ac:dyDescent="0.2">
      <c r="A428" t="s">
        <v>356</v>
      </c>
      <c r="B428" t="s">
        <v>232</v>
      </c>
      <c r="C428">
        <v>111</v>
      </c>
      <c r="D428">
        <v>90.7</v>
      </c>
      <c r="E428">
        <v>8.9</v>
      </c>
      <c r="F428">
        <v>0.02</v>
      </c>
      <c r="G428">
        <v>2E-3</v>
      </c>
      <c r="H428" t="s">
        <v>357</v>
      </c>
      <c r="I428">
        <v>12.2</v>
      </c>
      <c r="J428">
        <v>25</v>
      </c>
      <c r="K428" t="s">
        <v>319</v>
      </c>
      <c r="L428" s="85"/>
      <c r="M428" s="85"/>
    </row>
    <row r="429" spans="1:13" x14ac:dyDescent="0.2">
      <c r="A429" t="s">
        <v>356</v>
      </c>
      <c r="B429" t="s">
        <v>233</v>
      </c>
      <c r="C429">
        <v>118</v>
      </c>
      <c r="D429">
        <v>838.7</v>
      </c>
      <c r="E429">
        <v>3.3</v>
      </c>
      <c r="F429">
        <v>0.05</v>
      </c>
      <c r="G429">
        <v>2E-3</v>
      </c>
      <c r="H429" t="s">
        <v>357</v>
      </c>
      <c r="I429">
        <v>4.5</v>
      </c>
      <c r="J429">
        <v>217</v>
      </c>
      <c r="K429" t="s">
        <v>319</v>
      </c>
      <c r="L429" s="85"/>
      <c r="M429" s="85"/>
    </row>
    <row r="430" spans="1:13" x14ac:dyDescent="0.2">
      <c r="A430" t="s">
        <v>356</v>
      </c>
      <c r="B430" t="s">
        <v>234</v>
      </c>
      <c r="C430">
        <v>206</v>
      </c>
      <c r="D430">
        <v>1655.1</v>
      </c>
      <c r="E430">
        <v>3.6</v>
      </c>
      <c r="F430">
        <v>0.13</v>
      </c>
      <c r="G430">
        <v>6.0000000000000001E-3</v>
      </c>
      <c r="H430" t="s">
        <v>357</v>
      </c>
      <c r="I430">
        <v>5</v>
      </c>
      <c r="J430">
        <v>453</v>
      </c>
      <c r="K430" t="s">
        <v>319</v>
      </c>
      <c r="L430" s="145">
        <v>0.24099999999999999</v>
      </c>
      <c r="M430" s="85">
        <f>F430*L430</f>
        <v>3.1329999999999997E-2</v>
      </c>
    </row>
    <row r="431" spans="1:13" x14ac:dyDescent="0.2">
      <c r="A431" t="s">
        <v>356</v>
      </c>
      <c r="B431" t="s">
        <v>234</v>
      </c>
      <c r="C431">
        <v>207</v>
      </c>
      <c r="D431">
        <v>1494.4</v>
      </c>
      <c r="E431">
        <v>2</v>
      </c>
      <c r="F431">
        <v>0.15</v>
      </c>
      <c r="G431">
        <v>4.0000000000000001E-3</v>
      </c>
      <c r="H431" t="s">
        <v>357</v>
      </c>
      <c r="I431">
        <v>2.7</v>
      </c>
      <c r="J431">
        <v>397</v>
      </c>
      <c r="K431" t="s">
        <v>319</v>
      </c>
      <c r="L431" s="145">
        <v>0.221</v>
      </c>
      <c r="M431" s="85">
        <f t="shared" ref="M431:M432" si="23">F431*L431</f>
        <v>3.3149999999999999E-2</v>
      </c>
    </row>
    <row r="432" spans="1:13" x14ac:dyDescent="0.2">
      <c r="A432" t="s">
        <v>356</v>
      </c>
      <c r="B432" t="s">
        <v>234</v>
      </c>
      <c r="C432">
        <v>208</v>
      </c>
      <c r="D432">
        <v>3601.8</v>
      </c>
      <c r="E432">
        <v>1.8</v>
      </c>
      <c r="F432">
        <v>0.14000000000000001</v>
      </c>
      <c r="G432">
        <v>3.0000000000000001E-3</v>
      </c>
      <c r="H432" t="s">
        <v>357</v>
      </c>
      <c r="I432">
        <v>2.5</v>
      </c>
      <c r="J432">
        <v>1028</v>
      </c>
      <c r="K432" t="s">
        <v>319</v>
      </c>
      <c r="L432" s="145">
        <v>0.52400000000000002</v>
      </c>
      <c r="M432" s="85">
        <f t="shared" si="23"/>
        <v>7.3360000000000009E-2</v>
      </c>
    </row>
    <row r="433" spans="1:13" x14ac:dyDescent="0.2">
      <c r="A433" t="s">
        <v>338</v>
      </c>
    </row>
    <row r="434" spans="1:13" x14ac:dyDescent="0.2">
      <c r="A434" t="s">
        <v>339</v>
      </c>
      <c r="B434" t="s">
        <v>236</v>
      </c>
    </row>
    <row r="435" spans="1:13" x14ac:dyDescent="0.2">
      <c r="A435" t="s">
        <v>341</v>
      </c>
      <c r="B435" t="s">
        <v>342</v>
      </c>
      <c r="C435" t="s">
        <v>343</v>
      </c>
      <c r="D435" t="s">
        <v>387</v>
      </c>
    </row>
    <row r="436" spans="1:13" x14ac:dyDescent="0.2">
      <c r="A436" t="s">
        <v>345</v>
      </c>
    </row>
    <row r="437" spans="1:13" x14ac:dyDescent="0.2">
      <c r="A437" t="s">
        <v>346</v>
      </c>
    </row>
    <row r="438" spans="1:13" x14ac:dyDescent="0.2">
      <c r="A438" t="s">
        <v>347</v>
      </c>
      <c r="B438" t="s">
        <v>348</v>
      </c>
      <c r="C438" t="s">
        <v>349</v>
      </c>
      <c r="D438" t="s">
        <v>350</v>
      </c>
      <c r="E438" t="s">
        <v>351</v>
      </c>
      <c r="F438" t="s">
        <v>352</v>
      </c>
      <c r="G438" t="s">
        <v>353</v>
      </c>
      <c r="H438" t="s">
        <v>314</v>
      </c>
      <c r="I438" t="s">
        <v>351</v>
      </c>
      <c r="J438" t="s">
        <v>354</v>
      </c>
      <c r="K438" t="s">
        <v>355</v>
      </c>
      <c r="L438" s="85" t="s">
        <v>423</v>
      </c>
      <c r="M438" s="85" t="s">
        <v>424</v>
      </c>
    </row>
    <row r="439" spans="1:13" x14ac:dyDescent="0.2">
      <c r="A439" t="s">
        <v>356</v>
      </c>
      <c r="B439" t="s">
        <v>2</v>
      </c>
      <c r="C439">
        <v>57</v>
      </c>
      <c r="D439">
        <v>184136.1</v>
      </c>
      <c r="E439">
        <v>0.3</v>
      </c>
      <c r="F439">
        <v>195.61</v>
      </c>
      <c r="G439">
        <v>0.79800000000000004</v>
      </c>
      <c r="H439" t="s">
        <v>357</v>
      </c>
      <c r="I439">
        <v>0.4</v>
      </c>
      <c r="J439">
        <v>42416</v>
      </c>
      <c r="K439" t="s">
        <v>319</v>
      </c>
      <c r="L439" s="85"/>
      <c r="M439" s="85"/>
    </row>
    <row r="440" spans="1:13" x14ac:dyDescent="0.2">
      <c r="A440" t="s">
        <v>356</v>
      </c>
      <c r="B440" t="s">
        <v>1</v>
      </c>
      <c r="C440">
        <v>27</v>
      </c>
      <c r="D440">
        <v>2011339.3</v>
      </c>
      <c r="E440">
        <v>1.2</v>
      </c>
      <c r="F440">
        <v>103.22</v>
      </c>
      <c r="G440">
        <v>1.2809999999999999</v>
      </c>
      <c r="H440" t="s">
        <v>357</v>
      </c>
      <c r="I440">
        <v>1.2</v>
      </c>
      <c r="J440">
        <v>15527</v>
      </c>
      <c r="K440" t="s">
        <v>319</v>
      </c>
      <c r="L440" s="85"/>
      <c r="M440" s="85"/>
    </row>
    <row r="441" spans="1:13" x14ac:dyDescent="0.2">
      <c r="A441" t="s">
        <v>356</v>
      </c>
      <c r="B441" t="s">
        <v>227</v>
      </c>
      <c r="C441">
        <v>53</v>
      </c>
      <c r="D441">
        <v>1004</v>
      </c>
      <c r="E441">
        <v>0.7</v>
      </c>
      <c r="F441">
        <v>0.26</v>
      </c>
      <c r="G441">
        <v>3.0000000000000001E-3</v>
      </c>
      <c r="H441" t="s">
        <v>357</v>
      </c>
      <c r="I441">
        <v>1.1000000000000001</v>
      </c>
      <c r="J441">
        <v>328</v>
      </c>
      <c r="K441" t="s">
        <v>319</v>
      </c>
      <c r="L441" s="85"/>
      <c r="M441" s="85"/>
    </row>
    <row r="442" spans="1:13" x14ac:dyDescent="0.2">
      <c r="A442" t="s">
        <v>356</v>
      </c>
      <c r="B442" t="s">
        <v>228</v>
      </c>
      <c r="C442">
        <v>55</v>
      </c>
      <c r="D442">
        <v>251364.2</v>
      </c>
      <c r="E442">
        <v>0.5</v>
      </c>
      <c r="F442">
        <v>7.07</v>
      </c>
      <c r="G442">
        <v>3.5999999999999997E-2</v>
      </c>
      <c r="H442" t="s">
        <v>357</v>
      </c>
      <c r="I442">
        <v>0.5</v>
      </c>
      <c r="J442">
        <v>1912</v>
      </c>
      <c r="K442" t="s">
        <v>319</v>
      </c>
      <c r="L442" s="85"/>
      <c r="M442" s="85"/>
    </row>
    <row r="443" spans="1:13" x14ac:dyDescent="0.2">
      <c r="A443" t="s">
        <v>356</v>
      </c>
      <c r="B443" t="s">
        <v>229</v>
      </c>
      <c r="C443">
        <v>63</v>
      </c>
      <c r="D443">
        <v>12711.7</v>
      </c>
      <c r="E443">
        <v>0.8</v>
      </c>
      <c r="F443">
        <v>0.88</v>
      </c>
      <c r="G443">
        <v>7.0000000000000001E-3</v>
      </c>
      <c r="H443" t="s">
        <v>357</v>
      </c>
      <c r="I443">
        <v>0.9</v>
      </c>
      <c r="J443">
        <v>694</v>
      </c>
      <c r="K443" t="s">
        <v>319</v>
      </c>
      <c r="L443" s="85"/>
      <c r="M443" s="85"/>
    </row>
    <row r="444" spans="1:13" x14ac:dyDescent="0.2">
      <c r="A444" t="s">
        <v>356</v>
      </c>
      <c r="B444" t="s">
        <v>230</v>
      </c>
      <c r="C444">
        <v>66</v>
      </c>
      <c r="D444">
        <v>10075.200000000001</v>
      </c>
      <c r="E444">
        <v>0.3</v>
      </c>
      <c r="F444">
        <v>3.02</v>
      </c>
      <c r="G444">
        <v>1.0999999999999999E-2</v>
      </c>
      <c r="H444" t="s">
        <v>357</v>
      </c>
      <c r="I444">
        <v>0.4</v>
      </c>
      <c r="J444">
        <v>255</v>
      </c>
      <c r="K444" t="s">
        <v>319</v>
      </c>
      <c r="L444" s="85"/>
      <c r="M444" s="85"/>
    </row>
    <row r="445" spans="1:13" x14ac:dyDescent="0.2">
      <c r="A445" t="s">
        <v>356</v>
      </c>
      <c r="B445" t="s">
        <v>231</v>
      </c>
      <c r="C445">
        <v>75</v>
      </c>
      <c r="D445">
        <v>780.4</v>
      </c>
      <c r="E445">
        <v>3.8</v>
      </c>
      <c r="F445">
        <v>0.24</v>
      </c>
      <c r="G445">
        <v>0.01</v>
      </c>
      <c r="H445" t="s">
        <v>357</v>
      </c>
      <c r="I445">
        <v>3.9</v>
      </c>
      <c r="J445">
        <v>35</v>
      </c>
      <c r="K445" t="s">
        <v>319</v>
      </c>
      <c r="L445" s="85"/>
      <c r="M445" s="85"/>
    </row>
    <row r="446" spans="1:13" x14ac:dyDescent="0.2">
      <c r="A446" t="s">
        <v>356</v>
      </c>
      <c r="B446" t="s">
        <v>232</v>
      </c>
      <c r="C446">
        <v>111</v>
      </c>
      <c r="D446">
        <v>59</v>
      </c>
      <c r="E446">
        <v>7.4</v>
      </c>
      <c r="F446">
        <v>0.01</v>
      </c>
      <c r="G446">
        <v>1E-3</v>
      </c>
      <c r="H446" t="s">
        <v>357</v>
      </c>
      <c r="I446">
        <v>12.7</v>
      </c>
      <c r="J446">
        <v>25</v>
      </c>
      <c r="K446" t="s">
        <v>319</v>
      </c>
      <c r="L446" s="85"/>
      <c r="M446" s="85"/>
    </row>
    <row r="447" spans="1:13" x14ac:dyDescent="0.2">
      <c r="A447" t="s">
        <v>356</v>
      </c>
      <c r="B447" t="s">
        <v>233</v>
      </c>
      <c r="C447">
        <v>118</v>
      </c>
      <c r="D447">
        <v>1044.4000000000001</v>
      </c>
      <c r="E447">
        <v>8.5</v>
      </c>
      <c r="F447">
        <v>7.0000000000000007E-2</v>
      </c>
      <c r="G447">
        <v>8.0000000000000002E-3</v>
      </c>
      <c r="H447" t="s">
        <v>357</v>
      </c>
      <c r="I447">
        <v>10.7</v>
      </c>
      <c r="J447">
        <v>217</v>
      </c>
      <c r="K447" t="s">
        <v>319</v>
      </c>
      <c r="L447" s="85"/>
      <c r="M447" s="85"/>
    </row>
    <row r="448" spans="1:13" x14ac:dyDescent="0.2">
      <c r="A448" t="s">
        <v>356</v>
      </c>
      <c r="B448" t="s">
        <v>234</v>
      </c>
      <c r="C448">
        <v>206</v>
      </c>
      <c r="D448">
        <v>1406.7</v>
      </c>
      <c r="E448">
        <v>3</v>
      </c>
      <c r="F448">
        <v>0.1</v>
      </c>
      <c r="G448">
        <v>4.0000000000000001E-3</v>
      </c>
      <c r="H448" t="s">
        <v>357</v>
      </c>
      <c r="I448">
        <v>4.4000000000000004</v>
      </c>
      <c r="J448">
        <v>453</v>
      </c>
      <c r="K448" t="s">
        <v>319</v>
      </c>
      <c r="L448" s="145">
        <v>0.24099999999999999</v>
      </c>
      <c r="M448" s="85">
        <f>F448*L448</f>
        <v>2.41E-2</v>
      </c>
    </row>
    <row r="449" spans="1:13" x14ac:dyDescent="0.2">
      <c r="A449" t="s">
        <v>356</v>
      </c>
      <c r="B449" t="s">
        <v>234</v>
      </c>
      <c r="C449">
        <v>207</v>
      </c>
      <c r="D449">
        <v>1236.7</v>
      </c>
      <c r="E449">
        <v>3.3</v>
      </c>
      <c r="F449">
        <v>0.11</v>
      </c>
      <c r="G449">
        <v>6.0000000000000001E-3</v>
      </c>
      <c r="H449" t="s">
        <v>357</v>
      </c>
      <c r="I449">
        <v>4.8</v>
      </c>
      <c r="J449">
        <v>397</v>
      </c>
      <c r="K449" t="s">
        <v>319</v>
      </c>
      <c r="L449" s="145">
        <v>0.221</v>
      </c>
      <c r="M449" s="85">
        <f t="shared" ref="M449:M450" si="24">F449*L449</f>
        <v>2.4310000000000002E-2</v>
      </c>
    </row>
    <row r="450" spans="1:13" x14ac:dyDescent="0.2">
      <c r="A450" t="s">
        <v>356</v>
      </c>
      <c r="B450" t="s">
        <v>234</v>
      </c>
      <c r="C450">
        <v>208</v>
      </c>
      <c r="D450">
        <v>2988.6</v>
      </c>
      <c r="E450">
        <v>1</v>
      </c>
      <c r="F450">
        <v>0.11</v>
      </c>
      <c r="G450">
        <v>2E-3</v>
      </c>
      <c r="H450" t="s">
        <v>357</v>
      </c>
      <c r="I450">
        <v>1.5</v>
      </c>
      <c r="J450">
        <v>1028</v>
      </c>
      <c r="K450" t="s">
        <v>319</v>
      </c>
      <c r="L450" s="145">
        <v>0.52400000000000002</v>
      </c>
      <c r="M450" s="85">
        <f t="shared" si="24"/>
        <v>5.7640000000000004E-2</v>
      </c>
    </row>
    <row r="451" spans="1:13" x14ac:dyDescent="0.2">
      <c r="A451" t="s">
        <v>338</v>
      </c>
      <c r="L451" s="85"/>
      <c r="M451" s="85"/>
    </row>
    <row r="452" spans="1:13" x14ac:dyDescent="0.2">
      <c r="A452" t="s">
        <v>339</v>
      </c>
      <c r="B452" t="s">
        <v>237</v>
      </c>
      <c r="L452" s="85"/>
      <c r="M452" s="85"/>
    </row>
    <row r="453" spans="1:13" x14ac:dyDescent="0.2">
      <c r="A453" t="s">
        <v>341</v>
      </c>
      <c r="B453" t="s">
        <v>342</v>
      </c>
      <c r="C453" t="s">
        <v>343</v>
      </c>
      <c r="D453" t="s">
        <v>388</v>
      </c>
      <c r="L453" s="85"/>
      <c r="M453" s="85"/>
    </row>
    <row r="454" spans="1:13" x14ac:dyDescent="0.2">
      <c r="A454" t="s">
        <v>345</v>
      </c>
      <c r="L454" s="85"/>
      <c r="M454" s="85"/>
    </row>
    <row r="455" spans="1:13" x14ac:dyDescent="0.2">
      <c r="A455" t="s">
        <v>346</v>
      </c>
      <c r="L455" s="85"/>
      <c r="M455" s="85"/>
    </row>
    <row r="456" spans="1:13" x14ac:dyDescent="0.2">
      <c r="A456" t="s">
        <v>347</v>
      </c>
      <c r="B456" t="s">
        <v>348</v>
      </c>
      <c r="C456" t="s">
        <v>349</v>
      </c>
      <c r="D456" t="s">
        <v>350</v>
      </c>
      <c r="E456" t="s">
        <v>351</v>
      </c>
      <c r="F456" t="s">
        <v>352</v>
      </c>
      <c r="G456" t="s">
        <v>353</v>
      </c>
      <c r="H456" t="s">
        <v>314</v>
      </c>
      <c r="I456" t="s">
        <v>351</v>
      </c>
      <c r="J456" t="s">
        <v>354</v>
      </c>
      <c r="K456" t="s">
        <v>355</v>
      </c>
      <c r="L456" s="85" t="s">
        <v>423</v>
      </c>
      <c r="M456" s="85" t="s">
        <v>424</v>
      </c>
    </row>
    <row r="457" spans="1:13" x14ac:dyDescent="0.2">
      <c r="A457" t="s">
        <v>356</v>
      </c>
      <c r="B457" t="s">
        <v>2</v>
      </c>
      <c r="C457">
        <v>57</v>
      </c>
      <c r="D457">
        <v>133425.70000000001</v>
      </c>
      <c r="E457">
        <v>1.9</v>
      </c>
      <c r="F457">
        <v>125.62</v>
      </c>
      <c r="G457">
        <v>3.5579999999999998</v>
      </c>
      <c r="H457" t="s">
        <v>357</v>
      </c>
      <c r="I457">
        <v>2.8</v>
      </c>
      <c r="J457">
        <v>42416</v>
      </c>
      <c r="K457" t="s">
        <v>319</v>
      </c>
      <c r="L457" s="85"/>
      <c r="M457" s="85"/>
    </row>
    <row r="458" spans="1:13" x14ac:dyDescent="0.2">
      <c r="A458" t="s">
        <v>356</v>
      </c>
      <c r="B458" t="s">
        <v>1</v>
      </c>
      <c r="C458">
        <v>27</v>
      </c>
      <c r="D458">
        <v>1903321.6</v>
      </c>
      <c r="E458">
        <v>7.9</v>
      </c>
      <c r="F458">
        <v>97.63</v>
      </c>
      <c r="G458">
        <v>7.7869999999999999</v>
      </c>
      <c r="H458" t="s">
        <v>357</v>
      </c>
      <c r="I458">
        <v>8</v>
      </c>
      <c r="J458">
        <v>15527</v>
      </c>
      <c r="K458" t="s">
        <v>319</v>
      </c>
      <c r="L458" s="85"/>
      <c r="M458" s="85"/>
    </row>
    <row r="459" spans="1:13" x14ac:dyDescent="0.2">
      <c r="A459" t="s">
        <v>356</v>
      </c>
      <c r="B459" t="s">
        <v>227</v>
      </c>
      <c r="C459">
        <v>53</v>
      </c>
      <c r="D459">
        <v>2384.9</v>
      </c>
      <c r="E459">
        <v>3.7</v>
      </c>
      <c r="F459">
        <v>0.79</v>
      </c>
      <c r="G459">
        <v>3.4000000000000002E-2</v>
      </c>
      <c r="H459" t="s">
        <v>357</v>
      </c>
      <c r="I459">
        <v>4.3</v>
      </c>
      <c r="J459">
        <v>328</v>
      </c>
      <c r="K459" t="s">
        <v>319</v>
      </c>
      <c r="L459" s="85"/>
      <c r="M459" s="85"/>
    </row>
    <row r="460" spans="1:13" x14ac:dyDescent="0.2">
      <c r="A460" t="s">
        <v>356</v>
      </c>
      <c r="B460" t="s">
        <v>228</v>
      </c>
      <c r="C460">
        <v>55</v>
      </c>
      <c r="D460">
        <v>336528.5</v>
      </c>
      <c r="E460">
        <v>0.7</v>
      </c>
      <c r="F460">
        <v>9.49</v>
      </c>
      <c r="G460">
        <v>6.8000000000000005E-2</v>
      </c>
      <c r="H460" t="s">
        <v>357</v>
      </c>
      <c r="I460">
        <v>0.7</v>
      </c>
      <c r="J460">
        <v>1912</v>
      </c>
      <c r="K460" t="s">
        <v>319</v>
      </c>
      <c r="L460" s="85"/>
      <c r="M460" s="85"/>
    </row>
    <row r="461" spans="1:13" x14ac:dyDescent="0.2">
      <c r="A461" t="s">
        <v>356</v>
      </c>
      <c r="B461" t="s">
        <v>229</v>
      </c>
      <c r="C461">
        <v>63</v>
      </c>
      <c r="D461">
        <v>21947.8</v>
      </c>
      <c r="E461">
        <v>0.7</v>
      </c>
      <c r="F461">
        <v>1.55</v>
      </c>
      <c r="G461">
        <v>1.0999999999999999E-2</v>
      </c>
      <c r="H461" t="s">
        <v>357</v>
      </c>
      <c r="I461">
        <v>0.7</v>
      </c>
      <c r="J461">
        <v>694</v>
      </c>
      <c r="K461" t="s">
        <v>319</v>
      </c>
      <c r="L461" s="85"/>
      <c r="M461" s="85"/>
    </row>
    <row r="462" spans="1:13" x14ac:dyDescent="0.2">
      <c r="A462" t="s">
        <v>356</v>
      </c>
      <c r="B462" t="s">
        <v>230</v>
      </c>
      <c r="C462">
        <v>66</v>
      </c>
      <c r="D462">
        <v>13036.9</v>
      </c>
      <c r="E462">
        <v>1.2</v>
      </c>
      <c r="F462">
        <v>3.93</v>
      </c>
      <c r="G462">
        <v>4.7E-2</v>
      </c>
      <c r="H462" t="s">
        <v>357</v>
      </c>
      <c r="I462">
        <v>1.2</v>
      </c>
      <c r="J462">
        <v>255</v>
      </c>
      <c r="K462" t="s">
        <v>319</v>
      </c>
      <c r="L462" s="85"/>
      <c r="M462" s="85"/>
    </row>
    <row r="463" spans="1:13" x14ac:dyDescent="0.2">
      <c r="A463" t="s">
        <v>356</v>
      </c>
      <c r="B463" t="s">
        <v>231</v>
      </c>
      <c r="C463">
        <v>75</v>
      </c>
      <c r="D463">
        <v>1297.7</v>
      </c>
      <c r="E463">
        <v>3.8</v>
      </c>
      <c r="F463">
        <v>0.41</v>
      </c>
      <c r="G463">
        <v>1.6E-2</v>
      </c>
      <c r="H463" t="s">
        <v>357</v>
      </c>
      <c r="I463">
        <v>3.9</v>
      </c>
      <c r="J463">
        <v>35</v>
      </c>
      <c r="K463" t="s">
        <v>319</v>
      </c>
      <c r="L463" s="85"/>
      <c r="M463" s="85"/>
    </row>
    <row r="464" spans="1:13" x14ac:dyDescent="0.2">
      <c r="A464" t="s">
        <v>356</v>
      </c>
      <c r="B464" t="s">
        <v>232</v>
      </c>
      <c r="C464">
        <v>111</v>
      </c>
      <c r="D464">
        <v>79.3</v>
      </c>
      <c r="E464">
        <v>15.2</v>
      </c>
      <c r="F464">
        <v>0.01</v>
      </c>
      <c r="G464">
        <v>3.0000000000000001E-3</v>
      </c>
      <c r="H464" t="s">
        <v>357</v>
      </c>
      <c r="I464">
        <v>22.1</v>
      </c>
      <c r="J464">
        <v>25</v>
      </c>
      <c r="K464" t="s">
        <v>319</v>
      </c>
      <c r="L464" s="85"/>
      <c r="M464" s="85"/>
    </row>
    <row r="465" spans="1:13" x14ac:dyDescent="0.2">
      <c r="A465" t="s">
        <v>356</v>
      </c>
      <c r="B465" t="s">
        <v>233</v>
      </c>
      <c r="C465">
        <v>118</v>
      </c>
      <c r="D465">
        <v>778.7</v>
      </c>
      <c r="E465">
        <v>3.3</v>
      </c>
      <c r="F465">
        <v>0.05</v>
      </c>
      <c r="G465">
        <v>2E-3</v>
      </c>
      <c r="H465" t="s">
        <v>357</v>
      </c>
      <c r="I465">
        <v>4.5999999999999996</v>
      </c>
      <c r="J465">
        <v>217</v>
      </c>
      <c r="K465" t="s">
        <v>319</v>
      </c>
      <c r="L465" s="85"/>
      <c r="M465" s="85"/>
    </row>
    <row r="466" spans="1:13" x14ac:dyDescent="0.2">
      <c r="A466" t="s">
        <v>356</v>
      </c>
      <c r="B466" t="s">
        <v>234</v>
      </c>
      <c r="C466">
        <v>206</v>
      </c>
      <c r="D466">
        <v>2629.2</v>
      </c>
      <c r="E466">
        <v>2.4</v>
      </c>
      <c r="F466">
        <v>0.23</v>
      </c>
      <c r="G466">
        <v>7.0000000000000001E-3</v>
      </c>
      <c r="H466" t="s">
        <v>357</v>
      </c>
      <c r="I466">
        <v>2.9</v>
      </c>
      <c r="J466">
        <v>453</v>
      </c>
      <c r="K466" t="s">
        <v>319</v>
      </c>
      <c r="L466" s="145">
        <v>0.24099999999999999</v>
      </c>
      <c r="M466" s="85">
        <f>F466*L466</f>
        <v>5.543E-2</v>
      </c>
    </row>
    <row r="467" spans="1:13" x14ac:dyDescent="0.2">
      <c r="A467" t="s">
        <v>356</v>
      </c>
      <c r="B467" t="s">
        <v>234</v>
      </c>
      <c r="C467">
        <v>207</v>
      </c>
      <c r="D467">
        <v>2296.9</v>
      </c>
      <c r="E467">
        <v>2</v>
      </c>
      <c r="F467">
        <v>0.26</v>
      </c>
      <c r="G467">
        <v>6.0000000000000001E-3</v>
      </c>
      <c r="H467" t="s">
        <v>357</v>
      </c>
      <c r="I467">
        <v>2.4</v>
      </c>
      <c r="J467">
        <v>397</v>
      </c>
      <c r="K467" t="s">
        <v>319</v>
      </c>
      <c r="L467" s="145">
        <v>0.221</v>
      </c>
      <c r="M467" s="85">
        <f t="shared" ref="M467:M468" si="25">F467*L467</f>
        <v>5.7460000000000004E-2</v>
      </c>
    </row>
    <row r="468" spans="1:13" x14ac:dyDescent="0.2">
      <c r="A468" t="s">
        <v>356</v>
      </c>
      <c r="B468" t="s">
        <v>234</v>
      </c>
      <c r="C468">
        <v>208</v>
      </c>
      <c r="D468">
        <v>5574.4</v>
      </c>
      <c r="E468">
        <v>1.9</v>
      </c>
      <c r="F468">
        <v>0.25</v>
      </c>
      <c r="G468">
        <v>6.0000000000000001E-3</v>
      </c>
      <c r="H468" t="s">
        <v>357</v>
      </c>
      <c r="I468">
        <v>2.4</v>
      </c>
      <c r="J468">
        <v>1028</v>
      </c>
      <c r="K468" t="s">
        <v>319</v>
      </c>
      <c r="L468" s="145">
        <v>0.52400000000000002</v>
      </c>
      <c r="M468" s="85">
        <f t="shared" si="25"/>
        <v>0.13100000000000001</v>
      </c>
    </row>
    <row r="469" spans="1:13" x14ac:dyDescent="0.2">
      <c r="A469" t="s">
        <v>338</v>
      </c>
      <c r="L469" s="85"/>
      <c r="M469" s="85"/>
    </row>
    <row r="470" spans="1:13" x14ac:dyDescent="0.2">
      <c r="A470" t="s">
        <v>339</v>
      </c>
      <c r="B470" t="s">
        <v>238</v>
      </c>
      <c r="L470" s="85"/>
      <c r="M470" s="85"/>
    </row>
    <row r="471" spans="1:13" x14ac:dyDescent="0.2">
      <c r="A471" t="s">
        <v>341</v>
      </c>
      <c r="B471" t="s">
        <v>342</v>
      </c>
      <c r="C471" t="s">
        <v>343</v>
      </c>
      <c r="D471" t="s">
        <v>389</v>
      </c>
      <c r="L471" s="85"/>
      <c r="M471" s="85"/>
    </row>
    <row r="472" spans="1:13" x14ac:dyDescent="0.2">
      <c r="A472" t="s">
        <v>345</v>
      </c>
      <c r="L472" s="85"/>
      <c r="M472" s="85"/>
    </row>
    <row r="473" spans="1:13" x14ac:dyDescent="0.2">
      <c r="A473" t="s">
        <v>346</v>
      </c>
      <c r="L473" s="85"/>
      <c r="M473" s="85"/>
    </row>
    <row r="474" spans="1:13" x14ac:dyDescent="0.2">
      <c r="A474" t="s">
        <v>347</v>
      </c>
      <c r="B474" t="s">
        <v>348</v>
      </c>
      <c r="C474" t="s">
        <v>349</v>
      </c>
      <c r="D474" t="s">
        <v>350</v>
      </c>
      <c r="E474" t="s">
        <v>351</v>
      </c>
      <c r="F474" t="s">
        <v>352</v>
      </c>
      <c r="G474" t="s">
        <v>353</v>
      </c>
      <c r="H474" t="s">
        <v>314</v>
      </c>
      <c r="I474" t="s">
        <v>351</v>
      </c>
      <c r="J474" t="s">
        <v>354</v>
      </c>
      <c r="K474" t="s">
        <v>355</v>
      </c>
      <c r="L474" s="85" t="s">
        <v>423</v>
      </c>
      <c r="M474" s="85" t="s">
        <v>424</v>
      </c>
    </row>
    <row r="475" spans="1:13" x14ac:dyDescent="0.2">
      <c r="A475" t="s">
        <v>356</v>
      </c>
      <c r="B475" t="s">
        <v>2</v>
      </c>
      <c r="C475">
        <v>57</v>
      </c>
      <c r="D475">
        <v>133798.29999999999</v>
      </c>
      <c r="E475">
        <v>0.8</v>
      </c>
      <c r="F475">
        <v>126.13</v>
      </c>
      <c r="G475">
        <v>1.52</v>
      </c>
      <c r="H475" t="s">
        <v>357</v>
      </c>
      <c r="I475">
        <v>1.2</v>
      </c>
      <c r="J475">
        <v>42416</v>
      </c>
      <c r="K475" t="s">
        <v>319</v>
      </c>
      <c r="L475" s="85"/>
      <c r="M475" s="85"/>
    </row>
    <row r="476" spans="1:13" x14ac:dyDescent="0.2">
      <c r="A476" t="s">
        <v>356</v>
      </c>
      <c r="B476" t="s">
        <v>1</v>
      </c>
      <c r="C476">
        <v>27</v>
      </c>
      <c r="D476">
        <v>636391.9</v>
      </c>
      <c r="E476">
        <v>2.1</v>
      </c>
      <c r="F476">
        <v>32.11</v>
      </c>
      <c r="G476">
        <v>0.69799999999999995</v>
      </c>
      <c r="H476" t="s">
        <v>357</v>
      </c>
      <c r="I476">
        <v>2.2000000000000002</v>
      </c>
      <c r="J476">
        <v>15527</v>
      </c>
      <c r="K476" t="s">
        <v>319</v>
      </c>
      <c r="L476" s="85"/>
      <c r="M476" s="85"/>
    </row>
    <row r="477" spans="1:13" x14ac:dyDescent="0.2">
      <c r="A477" t="s">
        <v>356</v>
      </c>
      <c r="B477" t="s">
        <v>227</v>
      </c>
      <c r="C477">
        <v>53</v>
      </c>
      <c r="D477">
        <v>3412.7</v>
      </c>
      <c r="E477">
        <v>2.2999999999999998</v>
      </c>
      <c r="F477">
        <v>1.18</v>
      </c>
      <c r="G477">
        <v>0.03</v>
      </c>
      <c r="H477" t="s">
        <v>357</v>
      </c>
      <c r="I477">
        <v>2.6</v>
      </c>
      <c r="J477">
        <v>328</v>
      </c>
      <c r="K477" t="s">
        <v>319</v>
      </c>
      <c r="L477" s="85"/>
      <c r="M477" s="85"/>
    </row>
    <row r="478" spans="1:13" x14ac:dyDescent="0.2">
      <c r="A478" t="s">
        <v>356</v>
      </c>
      <c r="B478" t="s">
        <v>228</v>
      </c>
      <c r="C478">
        <v>55</v>
      </c>
      <c r="D478">
        <v>89088.6</v>
      </c>
      <c r="E478">
        <v>0.5</v>
      </c>
      <c r="F478">
        <v>2.4700000000000002</v>
      </c>
      <c r="G478">
        <v>1.2999999999999999E-2</v>
      </c>
      <c r="H478" t="s">
        <v>357</v>
      </c>
      <c r="I478">
        <v>0.5</v>
      </c>
      <c r="J478">
        <v>1912</v>
      </c>
      <c r="K478" t="s">
        <v>319</v>
      </c>
      <c r="L478" s="85"/>
      <c r="M478" s="85"/>
    </row>
    <row r="479" spans="1:13" x14ac:dyDescent="0.2">
      <c r="A479" t="s">
        <v>356</v>
      </c>
      <c r="B479" t="s">
        <v>229</v>
      </c>
      <c r="C479">
        <v>63</v>
      </c>
      <c r="D479">
        <v>37335.1</v>
      </c>
      <c r="E479">
        <v>2.2000000000000002</v>
      </c>
      <c r="F479">
        <v>2.67</v>
      </c>
      <c r="G479">
        <v>0.06</v>
      </c>
      <c r="H479" t="s">
        <v>357</v>
      </c>
      <c r="I479">
        <v>2.2000000000000002</v>
      </c>
      <c r="J479">
        <v>694</v>
      </c>
      <c r="K479" t="s">
        <v>319</v>
      </c>
      <c r="L479" s="85"/>
      <c r="M479" s="85"/>
    </row>
    <row r="480" spans="1:13" x14ac:dyDescent="0.2">
      <c r="A480" t="s">
        <v>356</v>
      </c>
      <c r="B480" t="s">
        <v>230</v>
      </c>
      <c r="C480">
        <v>66</v>
      </c>
      <c r="D480">
        <v>3319.7</v>
      </c>
      <c r="E480">
        <v>1.9</v>
      </c>
      <c r="F480">
        <v>0.94</v>
      </c>
      <c r="G480">
        <v>0.02</v>
      </c>
      <c r="H480" t="s">
        <v>357</v>
      </c>
      <c r="I480">
        <v>2.1</v>
      </c>
      <c r="J480">
        <v>255</v>
      </c>
      <c r="K480" t="s">
        <v>319</v>
      </c>
      <c r="L480" s="85"/>
      <c r="M480" s="85"/>
    </row>
    <row r="481" spans="1:13" x14ac:dyDescent="0.2">
      <c r="A481" t="s">
        <v>356</v>
      </c>
      <c r="B481" t="s">
        <v>231</v>
      </c>
      <c r="C481">
        <v>75</v>
      </c>
      <c r="D481">
        <v>2271.5</v>
      </c>
      <c r="E481">
        <v>0.7</v>
      </c>
      <c r="F481">
        <v>0.73</v>
      </c>
      <c r="G481">
        <v>5.0000000000000001E-3</v>
      </c>
      <c r="H481" t="s">
        <v>357</v>
      </c>
      <c r="I481">
        <v>0.7</v>
      </c>
      <c r="J481">
        <v>35</v>
      </c>
      <c r="K481" t="s">
        <v>319</v>
      </c>
      <c r="L481" s="85"/>
      <c r="M481" s="85"/>
    </row>
    <row r="482" spans="1:13" x14ac:dyDescent="0.2">
      <c r="A482" t="s">
        <v>356</v>
      </c>
      <c r="B482" t="s">
        <v>232</v>
      </c>
      <c r="C482">
        <v>111</v>
      </c>
      <c r="D482">
        <v>36.700000000000003</v>
      </c>
      <c r="E482">
        <v>24.7</v>
      </c>
      <c r="F482">
        <v>0</v>
      </c>
      <c r="G482">
        <v>2E-3</v>
      </c>
      <c r="H482" t="s">
        <v>357</v>
      </c>
      <c r="I482">
        <v>75.599999999999994</v>
      </c>
      <c r="J482">
        <v>25</v>
      </c>
      <c r="K482" t="s">
        <v>319</v>
      </c>
      <c r="L482" s="85"/>
      <c r="M482" s="85"/>
    </row>
    <row r="483" spans="1:13" x14ac:dyDescent="0.2">
      <c r="A483" t="s">
        <v>356</v>
      </c>
      <c r="B483" t="s">
        <v>233</v>
      </c>
      <c r="C483">
        <v>118</v>
      </c>
      <c r="D483">
        <v>607.70000000000005</v>
      </c>
      <c r="E483">
        <v>4.5</v>
      </c>
      <c r="F483">
        <v>0.03</v>
      </c>
      <c r="G483">
        <v>2E-3</v>
      </c>
      <c r="H483" t="s">
        <v>357</v>
      </c>
      <c r="I483">
        <v>6.9</v>
      </c>
      <c r="J483">
        <v>217</v>
      </c>
      <c r="K483" t="s">
        <v>319</v>
      </c>
      <c r="L483" s="85"/>
      <c r="M483" s="85"/>
    </row>
    <row r="484" spans="1:13" x14ac:dyDescent="0.2">
      <c r="A484" t="s">
        <v>356</v>
      </c>
      <c r="B484" t="s">
        <v>234</v>
      </c>
      <c r="C484">
        <v>206</v>
      </c>
      <c r="D484">
        <v>2934.3</v>
      </c>
      <c r="E484">
        <v>1.3</v>
      </c>
      <c r="F484">
        <v>0.26</v>
      </c>
      <c r="G484">
        <v>4.0000000000000001E-3</v>
      </c>
      <c r="H484" t="s">
        <v>357</v>
      </c>
      <c r="I484">
        <v>1.5</v>
      </c>
      <c r="J484">
        <v>453</v>
      </c>
      <c r="K484" t="s">
        <v>319</v>
      </c>
      <c r="L484" s="145">
        <v>0.24099999999999999</v>
      </c>
      <c r="M484" s="85">
        <f>F484*L484</f>
        <v>6.2659999999999993E-2</v>
      </c>
    </row>
    <row r="485" spans="1:13" x14ac:dyDescent="0.2">
      <c r="A485" t="s">
        <v>356</v>
      </c>
      <c r="B485" t="s">
        <v>234</v>
      </c>
      <c r="C485">
        <v>207</v>
      </c>
      <c r="D485">
        <v>2681.9</v>
      </c>
      <c r="E485">
        <v>2.6</v>
      </c>
      <c r="F485">
        <v>0.31</v>
      </c>
      <c r="G485">
        <v>8.9999999999999993E-3</v>
      </c>
      <c r="H485" t="s">
        <v>357</v>
      </c>
      <c r="I485">
        <v>3</v>
      </c>
      <c r="J485">
        <v>397</v>
      </c>
      <c r="K485" t="s">
        <v>319</v>
      </c>
      <c r="L485" s="145">
        <v>0.221</v>
      </c>
      <c r="M485" s="85">
        <f t="shared" ref="M485:M486" si="26">F485*L485</f>
        <v>6.8510000000000001E-2</v>
      </c>
    </row>
    <row r="486" spans="1:13" x14ac:dyDescent="0.2">
      <c r="A486" t="s">
        <v>356</v>
      </c>
      <c r="B486" t="s">
        <v>234</v>
      </c>
      <c r="C486">
        <v>208</v>
      </c>
      <c r="D486">
        <v>6442.1</v>
      </c>
      <c r="E486">
        <v>1.9</v>
      </c>
      <c r="F486">
        <v>0.28999999999999998</v>
      </c>
      <c r="G486">
        <v>6.0000000000000001E-3</v>
      </c>
      <c r="H486" t="s">
        <v>357</v>
      </c>
      <c r="I486">
        <v>2.2000000000000002</v>
      </c>
      <c r="J486">
        <v>1028</v>
      </c>
      <c r="K486" t="s">
        <v>319</v>
      </c>
      <c r="L486" s="145">
        <v>0.52400000000000002</v>
      </c>
      <c r="M486" s="85">
        <f t="shared" si="26"/>
        <v>0.15195999999999998</v>
      </c>
    </row>
    <row r="487" spans="1:13" x14ac:dyDescent="0.2">
      <c r="A487" t="s">
        <v>338</v>
      </c>
      <c r="M487" s="85"/>
    </row>
    <row r="488" spans="1:13" x14ac:dyDescent="0.2">
      <c r="A488" t="s">
        <v>339</v>
      </c>
      <c r="B488" t="s">
        <v>239</v>
      </c>
      <c r="M488" s="85"/>
    </row>
    <row r="489" spans="1:13" x14ac:dyDescent="0.2">
      <c r="A489" t="s">
        <v>341</v>
      </c>
      <c r="B489" t="s">
        <v>342</v>
      </c>
      <c r="C489" t="s">
        <v>343</v>
      </c>
      <c r="D489" t="s">
        <v>390</v>
      </c>
      <c r="M489" s="85"/>
    </row>
    <row r="490" spans="1:13" x14ac:dyDescent="0.2">
      <c r="A490" t="s">
        <v>345</v>
      </c>
      <c r="M490" s="85"/>
    </row>
    <row r="491" spans="1:13" x14ac:dyDescent="0.2">
      <c r="A491" t="s">
        <v>346</v>
      </c>
      <c r="M491" s="85"/>
    </row>
    <row r="492" spans="1:13" x14ac:dyDescent="0.2">
      <c r="A492" t="s">
        <v>347</v>
      </c>
      <c r="B492" t="s">
        <v>348</v>
      </c>
      <c r="C492" t="s">
        <v>349</v>
      </c>
      <c r="D492" t="s">
        <v>350</v>
      </c>
      <c r="E492" t="s">
        <v>351</v>
      </c>
      <c r="F492" t="s">
        <v>352</v>
      </c>
      <c r="G492" t="s">
        <v>353</v>
      </c>
      <c r="H492" t="s">
        <v>314</v>
      </c>
      <c r="I492" t="s">
        <v>351</v>
      </c>
      <c r="J492" t="s">
        <v>354</v>
      </c>
      <c r="K492" t="s">
        <v>355</v>
      </c>
      <c r="L492" s="85" t="s">
        <v>423</v>
      </c>
      <c r="M492" s="85" t="s">
        <v>424</v>
      </c>
    </row>
    <row r="493" spans="1:13" x14ac:dyDescent="0.2">
      <c r="A493" t="s">
        <v>356</v>
      </c>
      <c r="B493" t="s">
        <v>2</v>
      </c>
      <c r="C493">
        <v>57</v>
      </c>
      <c r="D493">
        <v>128175.5</v>
      </c>
      <c r="E493">
        <v>1.4</v>
      </c>
      <c r="F493">
        <v>118.37</v>
      </c>
      <c r="G493">
        <v>2.4580000000000002</v>
      </c>
      <c r="H493" t="s">
        <v>357</v>
      </c>
      <c r="I493">
        <v>2.1</v>
      </c>
      <c r="J493">
        <v>42416</v>
      </c>
      <c r="K493" t="s">
        <v>319</v>
      </c>
      <c r="L493" s="85"/>
      <c r="M493" s="85"/>
    </row>
    <row r="494" spans="1:13" x14ac:dyDescent="0.2">
      <c r="A494" t="s">
        <v>356</v>
      </c>
      <c r="B494" t="s">
        <v>1</v>
      </c>
      <c r="C494">
        <v>27</v>
      </c>
      <c r="D494">
        <v>383754.4</v>
      </c>
      <c r="E494">
        <v>0.2</v>
      </c>
      <c r="F494">
        <v>19.04</v>
      </c>
      <c r="G494">
        <v>3.7999999999999999E-2</v>
      </c>
      <c r="H494" t="s">
        <v>357</v>
      </c>
      <c r="I494">
        <v>0.2</v>
      </c>
      <c r="J494">
        <v>15527</v>
      </c>
      <c r="K494" t="s">
        <v>319</v>
      </c>
      <c r="L494" s="85"/>
      <c r="M494" s="85"/>
    </row>
    <row r="495" spans="1:13" x14ac:dyDescent="0.2">
      <c r="A495" t="s">
        <v>356</v>
      </c>
      <c r="B495" t="s">
        <v>227</v>
      </c>
      <c r="C495">
        <v>53</v>
      </c>
      <c r="D495">
        <v>3969.6</v>
      </c>
      <c r="E495">
        <v>1.4</v>
      </c>
      <c r="F495">
        <v>1.39</v>
      </c>
      <c r="G495">
        <v>2.1000000000000001E-2</v>
      </c>
      <c r="H495" t="s">
        <v>357</v>
      </c>
      <c r="I495">
        <v>1.5</v>
      </c>
      <c r="J495">
        <v>328</v>
      </c>
      <c r="K495" t="s">
        <v>319</v>
      </c>
      <c r="L495" s="85"/>
      <c r="M495" s="85"/>
    </row>
    <row r="496" spans="1:13" x14ac:dyDescent="0.2">
      <c r="A496" t="s">
        <v>356</v>
      </c>
      <c r="B496" t="s">
        <v>228</v>
      </c>
      <c r="C496">
        <v>55</v>
      </c>
      <c r="D496">
        <v>251300.1</v>
      </c>
      <c r="E496">
        <v>0.4</v>
      </c>
      <c r="F496">
        <v>7.07</v>
      </c>
      <c r="G496">
        <v>2.7E-2</v>
      </c>
      <c r="H496" t="s">
        <v>357</v>
      </c>
      <c r="I496">
        <v>0.4</v>
      </c>
      <c r="J496">
        <v>1912</v>
      </c>
      <c r="K496" t="s">
        <v>319</v>
      </c>
      <c r="L496" s="85"/>
      <c r="M496" s="85"/>
    </row>
    <row r="497" spans="1:13" x14ac:dyDescent="0.2">
      <c r="A497" t="s">
        <v>356</v>
      </c>
      <c r="B497" t="s">
        <v>229</v>
      </c>
      <c r="C497">
        <v>63</v>
      </c>
      <c r="D497">
        <v>34020.1</v>
      </c>
      <c r="E497">
        <v>0.3</v>
      </c>
      <c r="F497">
        <v>2.4300000000000002</v>
      </c>
      <c r="G497">
        <v>8.0000000000000002E-3</v>
      </c>
      <c r="H497" t="s">
        <v>357</v>
      </c>
      <c r="I497">
        <v>0.3</v>
      </c>
      <c r="J497">
        <v>694</v>
      </c>
      <c r="K497" t="s">
        <v>319</v>
      </c>
      <c r="L497" s="85"/>
      <c r="M497" s="85"/>
    </row>
    <row r="498" spans="1:13" x14ac:dyDescent="0.2">
      <c r="A498" t="s">
        <v>356</v>
      </c>
      <c r="B498" t="s">
        <v>230</v>
      </c>
      <c r="C498">
        <v>66</v>
      </c>
      <c r="D498">
        <v>5434</v>
      </c>
      <c r="E498">
        <v>2.6</v>
      </c>
      <c r="F498">
        <v>1.59</v>
      </c>
      <c r="G498">
        <v>4.3999999999999997E-2</v>
      </c>
      <c r="H498" t="s">
        <v>357</v>
      </c>
      <c r="I498">
        <v>2.8</v>
      </c>
      <c r="J498">
        <v>255</v>
      </c>
      <c r="K498" t="s">
        <v>319</v>
      </c>
      <c r="L498" s="85"/>
      <c r="M498" s="85"/>
    </row>
    <row r="499" spans="1:13" x14ac:dyDescent="0.2">
      <c r="A499" t="s">
        <v>356</v>
      </c>
      <c r="B499" t="s">
        <v>231</v>
      </c>
      <c r="C499">
        <v>75</v>
      </c>
      <c r="D499">
        <v>1561.4</v>
      </c>
      <c r="E499">
        <v>3.6</v>
      </c>
      <c r="F499">
        <v>0.5</v>
      </c>
      <c r="G499">
        <v>1.7999999999999999E-2</v>
      </c>
      <c r="H499" t="s">
        <v>357</v>
      </c>
      <c r="I499">
        <v>3.7</v>
      </c>
      <c r="J499">
        <v>35</v>
      </c>
      <c r="K499" t="s">
        <v>319</v>
      </c>
      <c r="L499" s="85"/>
      <c r="M499" s="85"/>
    </row>
    <row r="500" spans="1:13" x14ac:dyDescent="0.2">
      <c r="A500" t="s">
        <v>356</v>
      </c>
      <c r="B500" t="s">
        <v>232</v>
      </c>
      <c r="C500">
        <v>111</v>
      </c>
      <c r="D500">
        <v>37</v>
      </c>
      <c r="E500">
        <v>13.5</v>
      </c>
      <c r="F500">
        <v>0</v>
      </c>
      <c r="G500">
        <v>1E-3</v>
      </c>
      <c r="H500" t="s">
        <v>357</v>
      </c>
      <c r="I500">
        <v>40.5</v>
      </c>
      <c r="J500">
        <v>25</v>
      </c>
      <c r="K500" t="s">
        <v>319</v>
      </c>
      <c r="L500" s="85"/>
      <c r="M500" s="85"/>
    </row>
    <row r="501" spans="1:13" x14ac:dyDescent="0.2">
      <c r="A501" t="s">
        <v>356</v>
      </c>
      <c r="B501" t="s">
        <v>233</v>
      </c>
      <c r="C501">
        <v>118</v>
      </c>
      <c r="D501">
        <v>553</v>
      </c>
      <c r="E501">
        <v>3.5</v>
      </c>
      <c r="F501">
        <v>0.03</v>
      </c>
      <c r="G501">
        <v>2E-3</v>
      </c>
      <c r="H501" t="s">
        <v>357</v>
      </c>
      <c r="I501">
        <v>5.7</v>
      </c>
      <c r="J501">
        <v>217</v>
      </c>
      <c r="K501" t="s">
        <v>319</v>
      </c>
      <c r="L501" s="85"/>
      <c r="M501" s="85"/>
    </row>
    <row r="502" spans="1:13" x14ac:dyDescent="0.2">
      <c r="A502" t="s">
        <v>356</v>
      </c>
      <c r="B502" t="s">
        <v>234</v>
      </c>
      <c r="C502">
        <v>206</v>
      </c>
      <c r="D502">
        <v>631</v>
      </c>
      <c r="E502">
        <v>4.8</v>
      </c>
      <c r="F502">
        <v>0.02</v>
      </c>
      <c r="G502">
        <v>3.0000000000000001E-3</v>
      </c>
      <c r="H502" t="s">
        <v>357</v>
      </c>
      <c r="I502">
        <v>17.100000000000001</v>
      </c>
      <c r="J502">
        <v>453</v>
      </c>
      <c r="K502" t="s">
        <v>319</v>
      </c>
      <c r="L502" s="145">
        <v>0.24099999999999999</v>
      </c>
      <c r="M502" s="85">
        <f>F502*L502</f>
        <v>4.8199999999999996E-3</v>
      </c>
    </row>
    <row r="503" spans="1:13" x14ac:dyDescent="0.2">
      <c r="A503" t="s">
        <v>356</v>
      </c>
      <c r="B503" t="s">
        <v>234</v>
      </c>
      <c r="C503">
        <v>207</v>
      </c>
      <c r="D503">
        <v>540.70000000000005</v>
      </c>
      <c r="E503">
        <v>8.9</v>
      </c>
      <c r="F503">
        <v>0.02</v>
      </c>
      <c r="G503">
        <v>7.0000000000000001E-3</v>
      </c>
      <c r="H503" t="s">
        <v>357</v>
      </c>
      <c r="I503">
        <v>33.299999999999997</v>
      </c>
      <c r="J503">
        <v>397</v>
      </c>
      <c r="K503" t="s">
        <v>319</v>
      </c>
      <c r="L503" s="145">
        <v>0.221</v>
      </c>
      <c r="M503" s="85">
        <f t="shared" ref="M503:M504" si="27">F503*L503</f>
        <v>4.4200000000000003E-3</v>
      </c>
    </row>
    <row r="504" spans="1:13" x14ac:dyDescent="0.2">
      <c r="A504" t="s">
        <v>356</v>
      </c>
      <c r="B504" t="s">
        <v>234</v>
      </c>
      <c r="C504">
        <v>208</v>
      </c>
      <c r="D504">
        <v>1304.7</v>
      </c>
      <c r="E504">
        <v>2.8</v>
      </c>
      <c r="F504">
        <v>0.01</v>
      </c>
      <c r="G504">
        <v>2E-3</v>
      </c>
      <c r="H504" t="s">
        <v>357</v>
      </c>
      <c r="I504">
        <v>13.3</v>
      </c>
      <c r="J504">
        <v>1028</v>
      </c>
      <c r="K504" t="s">
        <v>319</v>
      </c>
      <c r="L504" s="145">
        <v>0.52400000000000002</v>
      </c>
      <c r="M504" s="85">
        <f t="shared" si="27"/>
        <v>5.2400000000000007E-3</v>
      </c>
    </row>
    <row r="505" spans="1:13" x14ac:dyDescent="0.2">
      <c r="A505" t="s">
        <v>338</v>
      </c>
      <c r="L505" s="85"/>
      <c r="M505" s="85"/>
    </row>
    <row r="506" spans="1:13" x14ac:dyDescent="0.2">
      <c r="A506" t="s">
        <v>339</v>
      </c>
      <c r="B506" t="s">
        <v>391</v>
      </c>
      <c r="L506" s="85"/>
      <c r="M506" s="85"/>
    </row>
    <row r="507" spans="1:13" x14ac:dyDescent="0.2">
      <c r="A507" t="s">
        <v>341</v>
      </c>
      <c r="B507" t="s">
        <v>342</v>
      </c>
      <c r="C507" t="s">
        <v>343</v>
      </c>
      <c r="D507" t="s">
        <v>392</v>
      </c>
      <c r="L507" s="85"/>
      <c r="M507" s="85"/>
    </row>
    <row r="508" spans="1:13" x14ac:dyDescent="0.2">
      <c r="A508" t="s">
        <v>345</v>
      </c>
      <c r="L508" s="85"/>
      <c r="M508" s="85"/>
    </row>
    <row r="509" spans="1:13" x14ac:dyDescent="0.2">
      <c r="A509" t="s">
        <v>346</v>
      </c>
      <c r="L509" s="85"/>
      <c r="M509" s="85"/>
    </row>
    <row r="510" spans="1:13" x14ac:dyDescent="0.2">
      <c r="A510" t="s">
        <v>347</v>
      </c>
      <c r="B510" t="s">
        <v>348</v>
      </c>
      <c r="C510" t="s">
        <v>349</v>
      </c>
      <c r="D510" t="s">
        <v>350</v>
      </c>
      <c r="E510" t="s">
        <v>351</v>
      </c>
      <c r="F510" t="s">
        <v>352</v>
      </c>
      <c r="G510" t="s">
        <v>353</v>
      </c>
      <c r="H510" t="s">
        <v>314</v>
      </c>
      <c r="I510" t="s">
        <v>351</v>
      </c>
      <c r="J510" t="s">
        <v>354</v>
      </c>
      <c r="K510" t="s">
        <v>355</v>
      </c>
      <c r="L510" s="85" t="s">
        <v>423</v>
      </c>
      <c r="M510" s="85" t="s">
        <v>424</v>
      </c>
    </row>
    <row r="511" spans="1:13" x14ac:dyDescent="0.2">
      <c r="A511" t="s">
        <v>356</v>
      </c>
      <c r="B511" t="s">
        <v>2</v>
      </c>
      <c r="C511">
        <v>57</v>
      </c>
      <c r="D511">
        <v>306726.5</v>
      </c>
      <c r="E511">
        <v>0.2</v>
      </c>
      <c r="F511">
        <v>364.81</v>
      </c>
      <c r="G511">
        <v>1.024</v>
      </c>
      <c r="H511" t="s">
        <v>357</v>
      </c>
      <c r="I511">
        <v>0.3</v>
      </c>
      <c r="J511">
        <v>42416</v>
      </c>
      <c r="K511" t="s">
        <v>319</v>
      </c>
      <c r="L511" s="85"/>
      <c r="M511" s="85"/>
    </row>
    <row r="512" spans="1:13" x14ac:dyDescent="0.2">
      <c r="A512" t="s">
        <v>356</v>
      </c>
      <c r="B512" t="s">
        <v>1</v>
      </c>
      <c r="C512">
        <v>27</v>
      </c>
      <c r="D512">
        <v>7042987.7999999998</v>
      </c>
      <c r="E512">
        <v>1.3</v>
      </c>
      <c r="F512">
        <v>363.45</v>
      </c>
      <c r="G512">
        <v>4.7510000000000003</v>
      </c>
      <c r="H512" t="s">
        <v>357</v>
      </c>
      <c r="I512">
        <v>1.3</v>
      </c>
      <c r="J512">
        <v>15527</v>
      </c>
      <c r="K512" t="s">
        <v>319</v>
      </c>
      <c r="L512" s="85"/>
      <c r="M512" s="85"/>
    </row>
    <row r="513" spans="1:13" x14ac:dyDescent="0.2">
      <c r="A513" t="s">
        <v>356</v>
      </c>
      <c r="B513" t="s">
        <v>227</v>
      </c>
      <c r="C513">
        <v>53</v>
      </c>
      <c r="D513">
        <v>20105.099999999999</v>
      </c>
      <c r="E513">
        <v>0.6</v>
      </c>
      <c r="F513">
        <v>7.56</v>
      </c>
      <c r="G513">
        <v>4.8000000000000001E-2</v>
      </c>
      <c r="H513" t="s">
        <v>357</v>
      </c>
      <c r="I513">
        <v>0.6</v>
      </c>
      <c r="J513">
        <v>328</v>
      </c>
      <c r="K513" t="s">
        <v>319</v>
      </c>
      <c r="L513" s="85"/>
      <c r="M513" s="85"/>
    </row>
    <row r="514" spans="1:13" x14ac:dyDescent="0.2">
      <c r="A514" t="s">
        <v>356</v>
      </c>
      <c r="B514" t="s">
        <v>228</v>
      </c>
      <c r="C514">
        <v>55</v>
      </c>
      <c r="D514">
        <v>1281284.8</v>
      </c>
      <c r="E514">
        <v>0.6</v>
      </c>
      <c r="F514">
        <v>36.28</v>
      </c>
      <c r="G514">
        <v>0.21</v>
      </c>
      <c r="H514" t="s">
        <v>357</v>
      </c>
      <c r="I514">
        <v>0.6</v>
      </c>
      <c r="J514">
        <v>1912</v>
      </c>
      <c r="K514" t="s">
        <v>319</v>
      </c>
      <c r="L514" s="85"/>
      <c r="M514" s="85"/>
    </row>
    <row r="515" spans="1:13" x14ac:dyDescent="0.2">
      <c r="A515" t="s">
        <v>356</v>
      </c>
      <c r="B515" t="s">
        <v>229</v>
      </c>
      <c r="C515">
        <v>63</v>
      </c>
      <c r="D515">
        <v>504918.8</v>
      </c>
      <c r="E515">
        <v>0.5</v>
      </c>
      <c r="F515">
        <v>36.770000000000003</v>
      </c>
      <c r="G515">
        <v>0.16700000000000001</v>
      </c>
      <c r="H515" t="s">
        <v>357</v>
      </c>
      <c r="I515">
        <v>0.5</v>
      </c>
      <c r="J515">
        <v>694</v>
      </c>
      <c r="K515" t="s">
        <v>319</v>
      </c>
      <c r="L515" s="85"/>
      <c r="M515" s="85"/>
    </row>
    <row r="516" spans="1:13" x14ac:dyDescent="0.2">
      <c r="A516" t="s">
        <v>356</v>
      </c>
      <c r="B516" t="s">
        <v>230</v>
      </c>
      <c r="C516">
        <v>66</v>
      </c>
      <c r="D516">
        <v>118020.2</v>
      </c>
      <c r="E516">
        <v>0.3</v>
      </c>
      <c r="F516">
        <v>36.21</v>
      </c>
      <c r="G516">
        <v>9.6000000000000002E-2</v>
      </c>
      <c r="H516" t="s">
        <v>357</v>
      </c>
      <c r="I516">
        <v>0.3</v>
      </c>
      <c r="J516">
        <v>255</v>
      </c>
      <c r="K516" t="s">
        <v>319</v>
      </c>
      <c r="L516" s="85"/>
      <c r="M516" s="85"/>
    </row>
    <row r="517" spans="1:13" x14ac:dyDescent="0.2">
      <c r="A517" t="s">
        <v>356</v>
      </c>
      <c r="B517" t="s">
        <v>231</v>
      </c>
      <c r="C517">
        <v>75</v>
      </c>
      <c r="D517">
        <v>22489.7</v>
      </c>
      <c r="E517">
        <v>0.1</v>
      </c>
      <c r="F517">
        <v>7.28</v>
      </c>
      <c r="G517">
        <v>7.0000000000000001E-3</v>
      </c>
      <c r="H517" t="s">
        <v>357</v>
      </c>
      <c r="I517">
        <v>0.1</v>
      </c>
      <c r="J517">
        <v>35</v>
      </c>
      <c r="K517" t="s">
        <v>319</v>
      </c>
      <c r="L517" s="85"/>
      <c r="M517" s="85"/>
    </row>
    <row r="518" spans="1:13" x14ac:dyDescent="0.2">
      <c r="A518" t="s">
        <v>356</v>
      </c>
      <c r="B518" t="s">
        <v>232</v>
      </c>
      <c r="C518">
        <v>111</v>
      </c>
      <c r="D518">
        <v>30317.5</v>
      </c>
      <c r="E518">
        <v>0.8</v>
      </c>
      <c r="F518">
        <v>7.36</v>
      </c>
      <c r="G518">
        <v>6.0999999999999999E-2</v>
      </c>
      <c r="H518" t="s">
        <v>357</v>
      </c>
      <c r="I518">
        <v>0.8</v>
      </c>
      <c r="J518">
        <v>25</v>
      </c>
      <c r="K518" t="s">
        <v>319</v>
      </c>
      <c r="L518" s="85"/>
      <c r="M518" s="85"/>
    </row>
    <row r="519" spans="1:13" x14ac:dyDescent="0.2">
      <c r="A519" t="s">
        <v>356</v>
      </c>
      <c r="B519" t="s">
        <v>233</v>
      </c>
      <c r="C519">
        <v>118</v>
      </c>
      <c r="D519">
        <v>85594.7</v>
      </c>
      <c r="E519">
        <v>0.7</v>
      </c>
      <c r="F519">
        <v>7.42</v>
      </c>
      <c r="G519">
        <v>5.6000000000000001E-2</v>
      </c>
      <c r="H519" t="s">
        <v>357</v>
      </c>
      <c r="I519">
        <v>0.8</v>
      </c>
      <c r="J519">
        <v>217</v>
      </c>
      <c r="K519" t="s">
        <v>319</v>
      </c>
      <c r="L519" s="85"/>
      <c r="M519" s="85"/>
    </row>
    <row r="520" spans="1:13" x14ac:dyDescent="0.2">
      <c r="A520" t="s">
        <v>356</v>
      </c>
      <c r="B520" t="s">
        <v>234</v>
      </c>
      <c r="C520">
        <v>206</v>
      </c>
      <c r="D520">
        <v>72256.3</v>
      </c>
      <c r="E520">
        <v>0.4</v>
      </c>
      <c r="F520">
        <v>7.48</v>
      </c>
      <c r="G520">
        <v>0.03</v>
      </c>
      <c r="H520" t="s">
        <v>357</v>
      </c>
      <c r="I520">
        <v>0.4</v>
      </c>
      <c r="J520">
        <v>453</v>
      </c>
      <c r="K520" t="s">
        <v>319</v>
      </c>
      <c r="L520" s="145">
        <v>0.24099999999999999</v>
      </c>
      <c r="M520" s="85">
        <f>F520*L520</f>
        <v>1.8026800000000001</v>
      </c>
    </row>
    <row r="521" spans="1:13" x14ac:dyDescent="0.2">
      <c r="A521" t="s">
        <v>356</v>
      </c>
      <c r="B521" t="s">
        <v>234</v>
      </c>
      <c r="C521">
        <v>207</v>
      </c>
      <c r="D521">
        <v>55508</v>
      </c>
      <c r="E521">
        <v>0.4</v>
      </c>
      <c r="F521">
        <v>7.5</v>
      </c>
      <c r="G521">
        <v>2.7E-2</v>
      </c>
      <c r="H521" t="s">
        <v>357</v>
      </c>
      <c r="I521">
        <v>0.4</v>
      </c>
      <c r="J521">
        <v>397</v>
      </c>
      <c r="K521" t="s">
        <v>319</v>
      </c>
      <c r="L521" s="145">
        <v>0.221</v>
      </c>
      <c r="M521" s="85">
        <f t="shared" ref="M521:M522" si="28">F521*L521</f>
        <v>1.6575</v>
      </c>
    </row>
    <row r="522" spans="1:13" x14ac:dyDescent="0.2">
      <c r="A522" t="s">
        <v>356</v>
      </c>
      <c r="B522" t="s">
        <v>234</v>
      </c>
      <c r="C522">
        <v>208</v>
      </c>
      <c r="D522">
        <v>139092.9</v>
      </c>
      <c r="E522">
        <v>0.7</v>
      </c>
      <c r="F522">
        <v>7.45</v>
      </c>
      <c r="G522">
        <v>5.5E-2</v>
      </c>
      <c r="H522" t="s">
        <v>357</v>
      </c>
      <c r="I522">
        <v>0.7</v>
      </c>
      <c r="J522">
        <v>1028</v>
      </c>
      <c r="K522" t="s">
        <v>319</v>
      </c>
      <c r="L522" s="145">
        <v>0.52400000000000002</v>
      </c>
      <c r="M522" s="85">
        <f t="shared" si="28"/>
        <v>3.9038000000000004</v>
      </c>
    </row>
    <row r="523" spans="1:13" x14ac:dyDescent="0.2">
      <c r="A523" t="s">
        <v>338</v>
      </c>
      <c r="L523" s="85"/>
      <c r="M523" s="85"/>
    </row>
    <row r="524" spans="1:13" x14ac:dyDescent="0.2">
      <c r="A524" t="s">
        <v>339</v>
      </c>
      <c r="B524" t="s">
        <v>240</v>
      </c>
      <c r="L524" s="85"/>
      <c r="M524" s="85"/>
    </row>
    <row r="525" spans="1:13" x14ac:dyDescent="0.2">
      <c r="A525" t="s">
        <v>341</v>
      </c>
      <c r="B525" t="s">
        <v>342</v>
      </c>
      <c r="C525" t="s">
        <v>343</v>
      </c>
      <c r="D525" t="s">
        <v>393</v>
      </c>
      <c r="L525" s="85"/>
      <c r="M525" s="85"/>
    </row>
    <row r="526" spans="1:13" x14ac:dyDescent="0.2">
      <c r="A526" t="s">
        <v>345</v>
      </c>
      <c r="L526" s="85"/>
      <c r="M526" s="85"/>
    </row>
    <row r="527" spans="1:13" x14ac:dyDescent="0.2">
      <c r="A527" t="s">
        <v>346</v>
      </c>
      <c r="L527" s="85"/>
      <c r="M527" s="85"/>
    </row>
    <row r="528" spans="1:13" x14ac:dyDescent="0.2">
      <c r="A528" t="s">
        <v>347</v>
      </c>
      <c r="B528" t="s">
        <v>348</v>
      </c>
      <c r="C528" t="s">
        <v>349</v>
      </c>
      <c r="D528" t="s">
        <v>350</v>
      </c>
      <c r="E528" t="s">
        <v>351</v>
      </c>
      <c r="F528" t="s">
        <v>352</v>
      </c>
      <c r="G528" t="s">
        <v>353</v>
      </c>
      <c r="H528" t="s">
        <v>314</v>
      </c>
      <c r="I528" t="s">
        <v>351</v>
      </c>
      <c r="J528" t="s">
        <v>354</v>
      </c>
      <c r="K528" t="s">
        <v>355</v>
      </c>
      <c r="L528" s="85" t="s">
        <v>423</v>
      </c>
      <c r="M528" s="85" t="s">
        <v>424</v>
      </c>
    </row>
    <row r="529" spans="1:13" x14ac:dyDescent="0.2">
      <c r="A529" t="s">
        <v>356</v>
      </c>
      <c r="B529" t="s">
        <v>2</v>
      </c>
      <c r="C529">
        <v>57</v>
      </c>
      <c r="D529">
        <v>138880.5</v>
      </c>
      <c r="E529">
        <v>1.1000000000000001</v>
      </c>
      <c r="F529">
        <v>133.13999999999999</v>
      </c>
      <c r="G529">
        <v>2.1669999999999998</v>
      </c>
      <c r="H529" t="s">
        <v>357</v>
      </c>
      <c r="I529">
        <v>1.6</v>
      </c>
      <c r="J529">
        <v>42416</v>
      </c>
      <c r="K529" t="s">
        <v>319</v>
      </c>
      <c r="L529" s="85"/>
      <c r="M529" s="85"/>
    </row>
    <row r="530" spans="1:13" x14ac:dyDescent="0.2">
      <c r="A530" t="s">
        <v>356</v>
      </c>
      <c r="B530" t="s">
        <v>1</v>
      </c>
      <c r="C530">
        <v>27</v>
      </c>
      <c r="D530">
        <v>124990.7</v>
      </c>
      <c r="E530">
        <v>4</v>
      </c>
      <c r="F530">
        <v>5.66</v>
      </c>
      <c r="G530">
        <v>0.25800000000000001</v>
      </c>
      <c r="H530" t="s">
        <v>357</v>
      </c>
      <c r="I530">
        <v>4.5999999999999996</v>
      </c>
      <c r="J530">
        <v>15527</v>
      </c>
      <c r="K530" t="s">
        <v>319</v>
      </c>
      <c r="L530" s="85"/>
      <c r="M530" s="85"/>
    </row>
    <row r="531" spans="1:13" x14ac:dyDescent="0.2">
      <c r="A531" t="s">
        <v>356</v>
      </c>
      <c r="B531" t="s">
        <v>227</v>
      </c>
      <c r="C531">
        <v>53</v>
      </c>
      <c r="D531">
        <v>3703.5</v>
      </c>
      <c r="E531">
        <v>3.2</v>
      </c>
      <c r="F531">
        <v>1.29</v>
      </c>
      <c r="G531">
        <v>4.4999999999999998E-2</v>
      </c>
      <c r="H531" t="s">
        <v>357</v>
      </c>
      <c r="I531">
        <v>3.5</v>
      </c>
      <c r="J531">
        <v>328</v>
      </c>
      <c r="K531" t="s">
        <v>319</v>
      </c>
      <c r="L531" s="85"/>
      <c r="M531" s="85"/>
    </row>
    <row r="532" spans="1:13" x14ac:dyDescent="0.2">
      <c r="A532" t="s">
        <v>356</v>
      </c>
      <c r="B532" t="s">
        <v>228</v>
      </c>
      <c r="C532">
        <v>55</v>
      </c>
      <c r="D532">
        <v>976890.2</v>
      </c>
      <c r="E532">
        <v>1</v>
      </c>
      <c r="F532">
        <v>27.65</v>
      </c>
      <c r="G532">
        <v>0.26300000000000001</v>
      </c>
      <c r="H532" t="s">
        <v>357</v>
      </c>
      <c r="I532">
        <v>1</v>
      </c>
      <c r="J532">
        <v>1912</v>
      </c>
      <c r="K532" t="s">
        <v>319</v>
      </c>
      <c r="L532" s="85"/>
      <c r="M532" s="85"/>
    </row>
    <row r="533" spans="1:13" x14ac:dyDescent="0.2">
      <c r="A533" t="s">
        <v>356</v>
      </c>
      <c r="B533" t="s">
        <v>229</v>
      </c>
      <c r="C533">
        <v>63</v>
      </c>
      <c r="D533">
        <v>26717.3</v>
      </c>
      <c r="E533">
        <v>1.1000000000000001</v>
      </c>
      <c r="F533">
        <v>1.9</v>
      </c>
      <c r="G533">
        <v>2.1000000000000001E-2</v>
      </c>
      <c r="H533" t="s">
        <v>357</v>
      </c>
      <c r="I533">
        <v>1.1000000000000001</v>
      </c>
      <c r="J533">
        <v>694</v>
      </c>
      <c r="K533" t="s">
        <v>319</v>
      </c>
      <c r="L533" s="85"/>
      <c r="M533" s="85"/>
    </row>
    <row r="534" spans="1:13" x14ac:dyDescent="0.2">
      <c r="A534" t="s">
        <v>356</v>
      </c>
      <c r="B534" t="s">
        <v>230</v>
      </c>
      <c r="C534">
        <v>66</v>
      </c>
      <c r="D534">
        <v>10766.7</v>
      </c>
      <c r="E534">
        <v>0.8</v>
      </c>
      <c r="F534">
        <v>3.23</v>
      </c>
      <c r="G534">
        <v>2.5000000000000001E-2</v>
      </c>
      <c r="H534" t="s">
        <v>357</v>
      </c>
      <c r="I534">
        <v>0.8</v>
      </c>
      <c r="J534">
        <v>255</v>
      </c>
      <c r="K534" t="s">
        <v>319</v>
      </c>
      <c r="L534" s="85"/>
      <c r="M534" s="85"/>
    </row>
    <row r="535" spans="1:13" x14ac:dyDescent="0.2">
      <c r="A535" t="s">
        <v>356</v>
      </c>
      <c r="B535" t="s">
        <v>231</v>
      </c>
      <c r="C535">
        <v>75</v>
      </c>
      <c r="D535">
        <v>2254.5</v>
      </c>
      <c r="E535">
        <v>3.6</v>
      </c>
      <c r="F535">
        <v>0.72</v>
      </c>
      <c r="G535">
        <v>2.5999999999999999E-2</v>
      </c>
      <c r="H535" t="s">
        <v>357</v>
      </c>
      <c r="I535">
        <v>3.7</v>
      </c>
      <c r="J535">
        <v>35</v>
      </c>
      <c r="K535" t="s">
        <v>319</v>
      </c>
      <c r="L535" s="85"/>
      <c r="M535" s="85"/>
    </row>
    <row r="536" spans="1:13" x14ac:dyDescent="0.2">
      <c r="A536" t="s">
        <v>356</v>
      </c>
      <c r="B536" t="s">
        <v>232</v>
      </c>
      <c r="C536">
        <v>111</v>
      </c>
      <c r="D536">
        <v>43.3</v>
      </c>
      <c r="E536">
        <v>35.799999999999997</v>
      </c>
      <c r="F536">
        <v>0</v>
      </c>
      <c r="G536">
        <v>4.0000000000000001E-3</v>
      </c>
      <c r="H536" t="s">
        <v>357</v>
      </c>
      <c r="I536">
        <v>83.1</v>
      </c>
      <c r="J536">
        <v>25</v>
      </c>
      <c r="K536" t="s">
        <v>319</v>
      </c>
      <c r="L536" s="85"/>
      <c r="M536" s="85"/>
    </row>
    <row r="537" spans="1:13" x14ac:dyDescent="0.2">
      <c r="A537" t="s">
        <v>356</v>
      </c>
      <c r="B537" t="s">
        <v>233</v>
      </c>
      <c r="C537">
        <v>118</v>
      </c>
      <c r="D537">
        <v>1095.7</v>
      </c>
      <c r="E537">
        <v>5.8</v>
      </c>
      <c r="F537">
        <v>0.08</v>
      </c>
      <c r="G537">
        <v>6.0000000000000001E-3</v>
      </c>
      <c r="H537" t="s">
        <v>357</v>
      </c>
      <c r="I537">
        <v>7.3</v>
      </c>
      <c r="J537">
        <v>217</v>
      </c>
      <c r="K537" t="s">
        <v>319</v>
      </c>
      <c r="L537" s="85"/>
      <c r="M537" s="85"/>
    </row>
    <row r="538" spans="1:13" x14ac:dyDescent="0.2">
      <c r="A538" t="s">
        <v>356</v>
      </c>
      <c r="B538" t="s">
        <v>234</v>
      </c>
      <c r="C538">
        <v>206</v>
      </c>
      <c r="D538">
        <v>623.29999999999995</v>
      </c>
      <c r="E538">
        <v>5.4</v>
      </c>
      <c r="F538">
        <v>0.02</v>
      </c>
      <c r="G538">
        <v>4.0000000000000001E-3</v>
      </c>
      <c r="H538" t="s">
        <v>357</v>
      </c>
      <c r="I538">
        <v>19.899999999999999</v>
      </c>
      <c r="J538">
        <v>453</v>
      </c>
      <c r="K538" t="s">
        <v>319</v>
      </c>
      <c r="L538" s="145">
        <v>0.24099999999999999</v>
      </c>
      <c r="M538" s="85">
        <f>F538*L538</f>
        <v>4.8199999999999996E-3</v>
      </c>
    </row>
    <row r="539" spans="1:13" x14ac:dyDescent="0.2">
      <c r="A539" t="s">
        <v>356</v>
      </c>
      <c r="B539" t="s">
        <v>234</v>
      </c>
      <c r="C539">
        <v>207</v>
      </c>
      <c r="D539">
        <v>528.29999999999995</v>
      </c>
      <c r="E539">
        <v>3.7</v>
      </c>
      <c r="F539">
        <v>0.02</v>
      </c>
      <c r="G539">
        <v>3.0000000000000001E-3</v>
      </c>
      <c r="H539" t="s">
        <v>357</v>
      </c>
      <c r="I539">
        <v>14.9</v>
      </c>
      <c r="J539">
        <v>397</v>
      </c>
      <c r="K539" t="s">
        <v>319</v>
      </c>
      <c r="L539" s="145">
        <v>0.221</v>
      </c>
      <c r="M539" s="85">
        <f t="shared" ref="M539:M540" si="29">F539*L539</f>
        <v>4.4200000000000003E-3</v>
      </c>
    </row>
    <row r="540" spans="1:13" x14ac:dyDescent="0.2">
      <c r="A540" t="s">
        <v>356</v>
      </c>
      <c r="B540" t="s">
        <v>234</v>
      </c>
      <c r="C540">
        <v>208</v>
      </c>
      <c r="D540">
        <v>1368.4</v>
      </c>
      <c r="E540">
        <v>7.6</v>
      </c>
      <c r="F540">
        <v>0.02</v>
      </c>
      <c r="G540">
        <v>6.0000000000000001E-3</v>
      </c>
      <c r="H540" t="s">
        <v>357</v>
      </c>
      <c r="I540">
        <v>30.5</v>
      </c>
      <c r="J540">
        <v>1028</v>
      </c>
      <c r="K540" t="s">
        <v>319</v>
      </c>
      <c r="L540" s="145">
        <v>0.52400000000000002</v>
      </c>
      <c r="M540" s="85">
        <f t="shared" si="29"/>
        <v>1.0480000000000001E-2</v>
      </c>
    </row>
    <row r="541" spans="1:13" x14ac:dyDescent="0.2">
      <c r="A541" t="s">
        <v>338</v>
      </c>
      <c r="L541" s="85"/>
      <c r="M541" s="85"/>
    </row>
    <row r="542" spans="1:13" x14ac:dyDescent="0.2">
      <c r="A542" t="s">
        <v>339</v>
      </c>
      <c r="B542" t="s">
        <v>241</v>
      </c>
      <c r="L542" s="85"/>
      <c r="M542" s="85"/>
    </row>
    <row r="543" spans="1:13" x14ac:dyDescent="0.2">
      <c r="A543" t="s">
        <v>341</v>
      </c>
      <c r="B543" t="s">
        <v>342</v>
      </c>
      <c r="C543" t="s">
        <v>343</v>
      </c>
      <c r="D543" t="s">
        <v>394</v>
      </c>
      <c r="L543" s="85"/>
      <c r="M543" s="85"/>
    </row>
    <row r="544" spans="1:13" x14ac:dyDescent="0.2">
      <c r="A544" t="s">
        <v>345</v>
      </c>
      <c r="L544" s="85"/>
      <c r="M544" s="85"/>
    </row>
    <row r="545" spans="1:13" x14ac:dyDescent="0.2">
      <c r="A545" t="s">
        <v>346</v>
      </c>
      <c r="L545" s="85"/>
      <c r="M545" s="85"/>
    </row>
    <row r="546" spans="1:13" x14ac:dyDescent="0.2">
      <c r="A546" t="s">
        <v>347</v>
      </c>
      <c r="B546" t="s">
        <v>348</v>
      </c>
      <c r="C546" t="s">
        <v>349</v>
      </c>
      <c r="D546" t="s">
        <v>350</v>
      </c>
      <c r="E546" t="s">
        <v>351</v>
      </c>
      <c r="F546" t="s">
        <v>352</v>
      </c>
      <c r="G546" t="s">
        <v>353</v>
      </c>
      <c r="H546" t="s">
        <v>314</v>
      </c>
      <c r="I546" t="s">
        <v>351</v>
      </c>
      <c r="J546" t="s">
        <v>354</v>
      </c>
      <c r="K546" t="s">
        <v>355</v>
      </c>
      <c r="L546" s="85" t="s">
        <v>423</v>
      </c>
      <c r="M546" s="85" t="s">
        <v>424</v>
      </c>
    </row>
    <row r="547" spans="1:13" x14ac:dyDescent="0.2">
      <c r="A547" t="s">
        <v>356</v>
      </c>
      <c r="B547" t="s">
        <v>2</v>
      </c>
      <c r="C547">
        <v>57</v>
      </c>
      <c r="D547">
        <v>264705.40000000002</v>
      </c>
      <c r="E547">
        <v>1</v>
      </c>
      <c r="F547">
        <v>306.81</v>
      </c>
      <c r="G547">
        <v>3.823</v>
      </c>
      <c r="H547" t="s">
        <v>357</v>
      </c>
      <c r="I547">
        <v>1.2</v>
      </c>
      <c r="J547">
        <v>42416</v>
      </c>
      <c r="K547" t="s">
        <v>319</v>
      </c>
      <c r="L547" s="85"/>
      <c r="M547" s="85"/>
    </row>
    <row r="548" spans="1:13" x14ac:dyDescent="0.2">
      <c r="A548" t="s">
        <v>356</v>
      </c>
      <c r="B548" t="s">
        <v>1</v>
      </c>
      <c r="C548">
        <v>27</v>
      </c>
      <c r="D548">
        <v>1964990.4</v>
      </c>
      <c r="E548">
        <v>1.6</v>
      </c>
      <c r="F548">
        <v>100.82</v>
      </c>
      <c r="G548">
        <v>1.591</v>
      </c>
      <c r="H548" t="s">
        <v>357</v>
      </c>
      <c r="I548">
        <v>1.6</v>
      </c>
      <c r="J548">
        <v>15527</v>
      </c>
      <c r="K548" t="s">
        <v>319</v>
      </c>
      <c r="L548" s="85"/>
      <c r="M548" s="85"/>
    </row>
    <row r="549" spans="1:13" x14ac:dyDescent="0.2">
      <c r="A549" t="s">
        <v>356</v>
      </c>
      <c r="B549" t="s">
        <v>227</v>
      </c>
      <c r="C549">
        <v>53</v>
      </c>
      <c r="D549">
        <v>2424.5</v>
      </c>
      <c r="E549">
        <v>1.1000000000000001</v>
      </c>
      <c r="F549">
        <v>0.8</v>
      </c>
      <c r="G549">
        <v>0.01</v>
      </c>
      <c r="H549" t="s">
        <v>357</v>
      </c>
      <c r="I549">
        <v>1.3</v>
      </c>
      <c r="J549">
        <v>328</v>
      </c>
      <c r="K549" t="s">
        <v>319</v>
      </c>
      <c r="L549" s="85"/>
      <c r="M549" s="85"/>
    </row>
    <row r="550" spans="1:13" x14ac:dyDescent="0.2">
      <c r="A550" t="s">
        <v>356</v>
      </c>
      <c r="B550" t="s">
        <v>228</v>
      </c>
      <c r="C550">
        <v>55</v>
      </c>
      <c r="D550">
        <v>897049.1</v>
      </c>
      <c r="E550">
        <v>0.5</v>
      </c>
      <c r="F550">
        <v>25.39</v>
      </c>
      <c r="G550">
        <v>0.11899999999999999</v>
      </c>
      <c r="H550" t="s">
        <v>357</v>
      </c>
      <c r="I550">
        <v>0.5</v>
      </c>
      <c r="J550">
        <v>1912</v>
      </c>
      <c r="K550" t="s">
        <v>319</v>
      </c>
      <c r="L550" s="85"/>
      <c r="M550" s="85"/>
    </row>
    <row r="551" spans="1:13" x14ac:dyDescent="0.2">
      <c r="A551" t="s">
        <v>356</v>
      </c>
      <c r="B551" t="s">
        <v>229</v>
      </c>
      <c r="C551">
        <v>63</v>
      </c>
      <c r="D551">
        <v>11728.1</v>
      </c>
      <c r="E551">
        <v>1.6</v>
      </c>
      <c r="F551">
        <v>0.8</v>
      </c>
      <c r="G551">
        <v>1.4E-2</v>
      </c>
      <c r="H551" t="s">
        <v>357</v>
      </c>
      <c r="I551">
        <v>1.7</v>
      </c>
      <c r="J551">
        <v>694</v>
      </c>
      <c r="K551" t="s">
        <v>319</v>
      </c>
      <c r="L551" s="85"/>
      <c r="M551" s="85"/>
    </row>
    <row r="552" spans="1:13" x14ac:dyDescent="0.2">
      <c r="A552" t="s">
        <v>356</v>
      </c>
      <c r="B552" t="s">
        <v>230</v>
      </c>
      <c r="C552">
        <v>66</v>
      </c>
      <c r="D552">
        <v>11902.6</v>
      </c>
      <c r="E552">
        <v>2.8</v>
      </c>
      <c r="F552">
        <v>3.58</v>
      </c>
      <c r="G552">
        <v>0.10199999999999999</v>
      </c>
      <c r="H552" t="s">
        <v>357</v>
      </c>
      <c r="I552">
        <v>2.9</v>
      </c>
      <c r="J552">
        <v>255</v>
      </c>
      <c r="K552" t="s">
        <v>319</v>
      </c>
      <c r="L552" s="85"/>
      <c r="M552" s="85"/>
    </row>
    <row r="553" spans="1:13" x14ac:dyDescent="0.2">
      <c r="A553" t="s">
        <v>356</v>
      </c>
      <c r="B553" t="s">
        <v>231</v>
      </c>
      <c r="C553">
        <v>75</v>
      </c>
      <c r="D553">
        <v>976.7</v>
      </c>
      <c r="E553">
        <v>2.5</v>
      </c>
      <c r="F553">
        <v>0.31</v>
      </c>
      <c r="G553">
        <v>8.0000000000000002E-3</v>
      </c>
      <c r="H553" t="s">
        <v>357</v>
      </c>
      <c r="I553">
        <v>2.6</v>
      </c>
      <c r="J553">
        <v>35</v>
      </c>
      <c r="K553" t="s">
        <v>319</v>
      </c>
      <c r="L553" s="85"/>
      <c r="M553" s="85"/>
    </row>
    <row r="554" spans="1:13" x14ac:dyDescent="0.2">
      <c r="A554" t="s">
        <v>356</v>
      </c>
      <c r="B554" t="s">
        <v>232</v>
      </c>
      <c r="C554">
        <v>111</v>
      </c>
      <c r="D554">
        <v>48.7</v>
      </c>
      <c r="E554">
        <v>13.2</v>
      </c>
      <c r="F554">
        <v>0.01</v>
      </c>
      <c r="G554">
        <v>2E-3</v>
      </c>
      <c r="H554" t="s">
        <v>357</v>
      </c>
      <c r="I554">
        <v>26.8</v>
      </c>
      <c r="J554">
        <v>25</v>
      </c>
      <c r="K554" t="s">
        <v>319</v>
      </c>
      <c r="L554" s="85"/>
      <c r="M554" s="85"/>
    </row>
    <row r="555" spans="1:13" x14ac:dyDescent="0.2">
      <c r="A555" t="s">
        <v>356</v>
      </c>
      <c r="B555" t="s">
        <v>233</v>
      </c>
      <c r="C555">
        <v>118</v>
      </c>
      <c r="D555">
        <v>613.29999999999995</v>
      </c>
      <c r="E555">
        <v>4.2</v>
      </c>
      <c r="F555">
        <v>0.03</v>
      </c>
      <c r="G555">
        <v>2E-3</v>
      </c>
      <c r="H555" t="s">
        <v>357</v>
      </c>
      <c r="I555">
        <v>6.5</v>
      </c>
      <c r="J555">
        <v>217</v>
      </c>
      <c r="K555" t="s">
        <v>319</v>
      </c>
      <c r="L555" s="85"/>
      <c r="M555" s="85"/>
    </row>
    <row r="556" spans="1:13" x14ac:dyDescent="0.2">
      <c r="A556" t="s">
        <v>356</v>
      </c>
      <c r="B556" t="s">
        <v>234</v>
      </c>
      <c r="C556">
        <v>206</v>
      </c>
      <c r="D556">
        <v>1477.7</v>
      </c>
      <c r="E556">
        <v>3.5</v>
      </c>
      <c r="F556">
        <v>0.11</v>
      </c>
      <c r="G556">
        <v>5.0000000000000001E-3</v>
      </c>
      <c r="H556" t="s">
        <v>357</v>
      </c>
      <c r="I556">
        <v>5</v>
      </c>
      <c r="J556">
        <v>453</v>
      </c>
      <c r="K556" t="s">
        <v>319</v>
      </c>
      <c r="L556" s="145">
        <v>0.24099999999999999</v>
      </c>
      <c r="M556" s="85">
        <f>F556*L556</f>
        <v>2.6509999999999999E-2</v>
      </c>
    </row>
    <row r="557" spans="1:13" x14ac:dyDescent="0.2">
      <c r="A557" t="s">
        <v>356</v>
      </c>
      <c r="B557" t="s">
        <v>234</v>
      </c>
      <c r="C557">
        <v>207</v>
      </c>
      <c r="D557">
        <v>1314.1</v>
      </c>
      <c r="E557">
        <v>4.5</v>
      </c>
      <c r="F557">
        <v>0.12</v>
      </c>
      <c r="G557">
        <v>8.0000000000000002E-3</v>
      </c>
      <c r="H557" t="s">
        <v>357</v>
      </c>
      <c r="I557">
        <v>6.4</v>
      </c>
      <c r="J557">
        <v>397</v>
      </c>
      <c r="K557" t="s">
        <v>319</v>
      </c>
      <c r="L557" s="145">
        <v>0.221</v>
      </c>
      <c r="M557" s="85">
        <f t="shared" ref="M557:M558" si="30">F557*L557</f>
        <v>2.6519999999999998E-2</v>
      </c>
    </row>
    <row r="558" spans="1:13" x14ac:dyDescent="0.2">
      <c r="A558" t="s">
        <v>356</v>
      </c>
      <c r="B558" t="s">
        <v>234</v>
      </c>
      <c r="C558">
        <v>208</v>
      </c>
      <c r="D558">
        <v>3127</v>
      </c>
      <c r="E558">
        <v>2.2999999999999998</v>
      </c>
      <c r="F558">
        <v>0.11</v>
      </c>
      <c r="G558">
        <v>4.0000000000000001E-3</v>
      </c>
      <c r="H558" t="s">
        <v>357</v>
      </c>
      <c r="I558">
        <v>3.5</v>
      </c>
      <c r="J558">
        <v>1028</v>
      </c>
      <c r="K558" t="s">
        <v>319</v>
      </c>
      <c r="L558" s="145">
        <v>0.52400000000000002</v>
      </c>
      <c r="M558" s="85">
        <f t="shared" si="30"/>
        <v>5.7640000000000004E-2</v>
      </c>
    </row>
    <row r="559" spans="1:13" x14ac:dyDescent="0.2">
      <c r="A559" t="s">
        <v>338</v>
      </c>
      <c r="L559" s="85"/>
      <c r="M559" s="85"/>
    </row>
    <row r="560" spans="1:13" x14ac:dyDescent="0.2">
      <c r="A560" t="s">
        <v>339</v>
      </c>
      <c r="B560" t="s">
        <v>242</v>
      </c>
      <c r="L560" s="85"/>
      <c r="M560" s="85"/>
    </row>
    <row r="561" spans="1:13" x14ac:dyDescent="0.2">
      <c r="A561" t="s">
        <v>341</v>
      </c>
      <c r="B561" t="s">
        <v>342</v>
      </c>
      <c r="C561" t="s">
        <v>343</v>
      </c>
      <c r="D561" t="s">
        <v>395</v>
      </c>
      <c r="L561" s="85"/>
      <c r="M561" s="85"/>
    </row>
    <row r="562" spans="1:13" x14ac:dyDescent="0.2">
      <c r="A562" t="s">
        <v>345</v>
      </c>
      <c r="L562" s="85"/>
      <c r="M562" s="85"/>
    </row>
    <row r="563" spans="1:13" x14ac:dyDescent="0.2">
      <c r="A563" t="s">
        <v>346</v>
      </c>
      <c r="L563" s="85"/>
      <c r="M563" s="85"/>
    </row>
    <row r="564" spans="1:13" x14ac:dyDescent="0.2">
      <c r="A564" t="s">
        <v>347</v>
      </c>
      <c r="B564" t="s">
        <v>348</v>
      </c>
      <c r="C564" t="s">
        <v>349</v>
      </c>
      <c r="D564" t="s">
        <v>350</v>
      </c>
      <c r="E564" t="s">
        <v>351</v>
      </c>
      <c r="F564" t="s">
        <v>352</v>
      </c>
      <c r="G564" t="s">
        <v>353</v>
      </c>
      <c r="H564" t="s">
        <v>314</v>
      </c>
      <c r="I564" t="s">
        <v>351</v>
      </c>
      <c r="J564" t="s">
        <v>354</v>
      </c>
      <c r="K564" t="s">
        <v>355</v>
      </c>
      <c r="L564" s="85" t="s">
        <v>423</v>
      </c>
      <c r="M564" s="85" t="s">
        <v>424</v>
      </c>
    </row>
    <row r="565" spans="1:13" x14ac:dyDescent="0.2">
      <c r="A565" t="s">
        <v>356</v>
      </c>
      <c r="B565" t="s">
        <v>2</v>
      </c>
      <c r="C565">
        <v>57</v>
      </c>
      <c r="D565">
        <v>211530.9</v>
      </c>
      <c r="E565">
        <v>0.5</v>
      </c>
      <c r="F565">
        <v>233.42</v>
      </c>
      <c r="G565">
        <v>1.4410000000000001</v>
      </c>
      <c r="H565" t="s">
        <v>357</v>
      </c>
      <c r="I565">
        <v>0.6</v>
      </c>
      <c r="J565">
        <v>42416</v>
      </c>
      <c r="K565" t="s">
        <v>319</v>
      </c>
      <c r="L565" s="85"/>
      <c r="M565" s="85"/>
    </row>
    <row r="566" spans="1:13" x14ac:dyDescent="0.2">
      <c r="A566" t="s">
        <v>356</v>
      </c>
      <c r="B566" t="s">
        <v>1</v>
      </c>
      <c r="C566">
        <v>27</v>
      </c>
      <c r="D566">
        <v>640707.9</v>
      </c>
      <c r="E566">
        <v>0.6</v>
      </c>
      <c r="F566">
        <v>32.33</v>
      </c>
      <c r="G566">
        <v>0.19900000000000001</v>
      </c>
      <c r="H566" t="s">
        <v>357</v>
      </c>
      <c r="I566">
        <v>0.6</v>
      </c>
      <c r="J566">
        <v>15527</v>
      </c>
      <c r="K566" t="s">
        <v>319</v>
      </c>
      <c r="L566" s="85"/>
      <c r="M566" s="85"/>
    </row>
    <row r="567" spans="1:13" x14ac:dyDescent="0.2">
      <c r="A567" t="s">
        <v>356</v>
      </c>
      <c r="B567" t="s">
        <v>227</v>
      </c>
      <c r="C567">
        <v>53</v>
      </c>
      <c r="D567">
        <v>3240</v>
      </c>
      <c r="E567">
        <v>2.8</v>
      </c>
      <c r="F567">
        <v>1.1100000000000001</v>
      </c>
      <c r="G567">
        <v>3.4000000000000002E-2</v>
      </c>
      <c r="H567" t="s">
        <v>357</v>
      </c>
      <c r="I567">
        <v>3.1</v>
      </c>
      <c r="J567">
        <v>328</v>
      </c>
      <c r="K567" t="s">
        <v>319</v>
      </c>
      <c r="L567" s="85"/>
      <c r="M567" s="85"/>
    </row>
    <row r="568" spans="1:13" x14ac:dyDescent="0.2">
      <c r="A568" t="s">
        <v>356</v>
      </c>
      <c r="B568" t="s">
        <v>228</v>
      </c>
      <c r="C568">
        <v>55</v>
      </c>
      <c r="D568">
        <v>1611951.6</v>
      </c>
      <c r="E568">
        <v>0.7</v>
      </c>
      <c r="F568">
        <v>45.66</v>
      </c>
      <c r="G568">
        <v>0.30099999999999999</v>
      </c>
      <c r="H568" t="s">
        <v>357</v>
      </c>
      <c r="I568">
        <v>0.7</v>
      </c>
      <c r="J568">
        <v>1912</v>
      </c>
      <c r="K568" t="s">
        <v>319</v>
      </c>
      <c r="L568" s="85"/>
      <c r="M568" s="85"/>
    </row>
    <row r="569" spans="1:13" x14ac:dyDescent="0.2">
      <c r="A569" t="s">
        <v>356</v>
      </c>
      <c r="B569" t="s">
        <v>229</v>
      </c>
      <c r="C569">
        <v>63</v>
      </c>
      <c r="D569">
        <v>35157.199999999997</v>
      </c>
      <c r="E569">
        <v>1.6</v>
      </c>
      <c r="F569">
        <v>2.5099999999999998</v>
      </c>
      <c r="G569">
        <v>4.2000000000000003E-2</v>
      </c>
      <c r="H569" t="s">
        <v>357</v>
      </c>
      <c r="I569">
        <v>1.7</v>
      </c>
      <c r="J569">
        <v>694</v>
      </c>
      <c r="K569" t="s">
        <v>319</v>
      </c>
      <c r="L569" s="85"/>
      <c r="M569" s="85"/>
    </row>
    <row r="570" spans="1:13" x14ac:dyDescent="0.2">
      <c r="A570" t="s">
        <v>356</v>
      </c>
      <c r="B570" t="s">
        <v>230</v>
      </c>
      <c r="C570">
        <v>66</v>
      </c>
      <c r="D570">
        <v>6780.9</v>
      </c>
      <c r="E570">
        <v>1.4</v>
      </c>
      <c r="F570">
        <v>2.0099999999999998</v>
      </c>
      <c r="G570">
        <v>2.8000000000000001E-2</v>
      </c>
      <c r="H570" t="s">
        <v>357</v>
      </c>
      <c r="I570">
        <v>1.4</v>
      </c>
      <c r="J570">
        <v>255</v>
      </c>
      <c r="K570" t="s">
        <v>319</v>
      </c>
      <c r="L570" s="85"/>
      <c r="M570" s="85"/>
    </row>
    <row r="571" spans="1:13" x14ac:dyDescent="0.2">
      <c r="A571" t="s">
        <v>356</v>
      </c>
      <c r="B571" t="s">
        <v>231</v>
      </c>
      <c r="C571">
        <v>75</v>
      </c>
      <c r="D571">
        <v>1665.1</v>
      </c>
      <c r="E571">
        <v>3.2</v>
      </c>
      <c r="F571">
        <v>0.53</v>
      </c>
      <c r="G571">
        <v>1.7000000000000001E-2</v>
      </c>
      <c r="H571" t="s">
        <v>357</v>
      </c>
      <c r="I571">
        <v>3.2</v>
      </c>
      <c r="J571">
        <v>35</v>
      </c>
      <c r="K571" t="s">
        <v>319</v>
      </c>
      <c r="L571" s="85"/>
      <c r="M571" s="85"/>
    </row>
    <row r="572" spans="1:13" x14ac:dyDescent="0.2">
      <c r="A572" t="s">
        <v>356</v>
      </c>
      <c r="B572" t="s">
        <v>232</v>
      </c>
      <c r="C572">
        <v>111</v>
      </c>
      <c r="D572">
        <v>33.299999999999997</v>
      </c>
      <c r="E572">
        <v>17.100000000000001</v>
      </c>
      <c r="F572">
        <v>0</v>
      </c>
      <c r="G572">
        <v>1E-3</v>
      </c>
      <c r="H572" t="s">
        <v>357</v>
      </c>
      <c r="I572">
        <v>65.599999999999994</v>
      </c>
      <c r="J572">
        <v>25</v>
      </c>
      <c r="K572" t="s">
        <v>319</v>
      </c>
      <c r="L572" s="85"/>
      <c r="M572" s="85"/>
    </row>
    <row r="573" spans="1:13" x14ac:dyDescent="0.2">
      <c r="A573" t="s">
        <v>356</v>
      </c>
      <c r="B573" t="s">
        <v>233</v>
      </c>
      <c r="C573">
        <v>118</v>
      </c>
      <c r="D573">
        <v>875</v>
      </c>
      <c r="E573">
        <v>5</v>
      </c>
      <c r="F573">
        <v>0.06</v>
      </c>
      <c r="G573">
        <v>4.0000000000000001E-3</v>
      </c>
      <c r="H573" t="s">
        <v>357</v>
      </c>
      <c r="I573">
        <v>6.6</v>
      </c>
      <c r="J573">
        <v>217</v>
      </c>
      <c r="K573" t="s">
        <v>319</v>
      </c>
      <c r="L573" s="85"/>
      <c r="M573" s="85"/>
    </row>
    <row r="574" spans="1:13" x14ac:dyDescent="0.2">
      <c r="A574" t="s">
        <v>356</v>
      </c>
      <c r="B574" t="s">
        <v>234</v>
      </c>
      <c r="C574">
        <v>206</v>
      </c>
      <c r="D574">
        <v>1421.7</v>
      </c>
      <c r="E574">
        <v>1.1000000000000001</v>
      </c>
      <c r="F574">
        <v>0.1</v>
      </c>
      <c r="G574">
        <v>2E-3</v>
      </c>
      <c r="H574" t="s">
        <v>357</v>
      </c>
      <c r="I574">
        <v>1.7</v>
      </c>
      <c r="J574">
        <v>453</v>
      </c>
      <c r="K574" t="s">
        <v>319</v>
      </c>
      <c r="L574" s="145">
        <v>0.24099999999999999</v>
      </c>
      <c r="M574" s="85">
        <f>F574*L574</f>
        <v>2.41E-2</v>
      </c>
    </row>
    <row r="575" spans="1:13" x14ac:dyDescent="0.2">
      <c r="A575" t="s">
        <v>356</v>
      </c>
      <c r="B575" t="s">
        <v>234</v>
      </c>
      <c r="C575">
        <v>207</v>
      </c>
      <c r="D575">
        <v>1269.0999999999999</v>
      </c>
      <c r="E575">
        <v>2.4</v>
      </c>
      <c r="F575">
        <v>0.12</v>
      </c>
      <c r="G575">
        <v>4.0000000000000001E-3</v>
      </c>
      <c r="H575" t="s">
        <v>357</v>
      </c>
      <c r="I575">
        <v>3.4</v>
      </c>
      <c r="J575">
        <v>397</v>
      </c>
      <c r="K575" t="s">
        <v>319</v>
      </c>
      <c r="L575" s="145">
        <v>0.221</v>
      </c>
      <c r="M575" s="85">
        <f t="shared" ref="M575:M576" si="31">F575*L575</f>
        <v>2.6519999999999998E-2</v>
      </c>
    </row>
    <row r="576" spans="1:13" x14ac:dyDescent="0.2">
      <c r="A576" t="s">
        <v>356</v>
      </c>
      <c r="B576" t="s">
        <v>234</v>
      </c>
      <c r="C576">
        <v>208</v>
      </c>
      <c r="D576">
        <v>3064.7</v>
      </c>
      <c r="E576">
        <v>1.5</v>
      </c>
      <c r="F576">
        <v>0.11</v>
      </c>
      <c r="G576">
        <v>2E-3</v>
      </c>
      <c r="H576" t="s">
        <v>357</v>
      </c>
      <c r="I576">
        <v>2.2000000000000002</v>
      </c>
      <c r="J576">
        <v>1028</v>
      </c>
      <c r="K576" t="s">
        <v>319</v>
      </c>
      <c r="L576" s="145">
        <v>0.52400000000000002</v>
      </c>
      <c r="M576" s="85">
        <f t="shared" si="31"/>
        <v>5.7640000000000004E-2</v>
      </c>
    </row>
    <row r="577" spans="1:13" x14ac:dyDescent="0.2">
      <c r="A577" t="s">
        <v>338</v>
      </c>
      <c r="L577" s="85"/>
      <c r="M577" s="85"/>
    </row>
    <row r="578" spans="1:13" x14ac:dyDescent="0.2">
      <c r="A578" t="s">
        <v>339</v>
      </c>
      <c r="B578" t="s">
        <v>243</v>
      </c>
      <c r="L578" s="85"/>
      <c r="M578" s="85"/>
    </row>
    <row r="579" spans="1:13" x14ac:dyDescent="0.2">
      <c r="A579" t="s">
        <v>341</v>
      </c>
      <c r="B579" t="s">
        <v>342</v>
      </c>
      <c r="C579" t="s">
        <v>343</v>
      </c>
      <c r="D579" t="s">
        <v>396</v>
      </c>
      <c r="L579" s="85"/>
      <c r="M579" s="85"/>
    </row>
    <row r="580" spans="1:13" x14ac:dyDescent="0.2">
      <c r="A580" t="s">
        <v>345</v>
      </c>
      <c r="L580" s="85"/>
      <c r="M580" s="85"/>
    </row>
    <row r="581" spans="1:13" x14ac:dyDescent="0.2">
      <c r="A581" t="s">
        <v>346</v>
      </c>
      <c r="L581" s="85"/>
      <c r="M581" s="85"/>
    </row>
    <row r="582" spans="1:13" x14ac:dyDescent="0.2">
      <c r="A582" t="s">
        <v>347</v>
      </c>
      <c r="B582" t="s">
        <v>348</v>
      </c>
      <c r="C582" t="s">
        <v>349</v>
      </c>
      <c r="D582" t="s">
        <v>350</v>
      </c>
      <c r="E582" t="s">
        <v>351</v>
      </c>
      <c r="F582" t="s">
        <v>352</v>
      </c>
      <c r="G582" t="s">
        <v>353</v>
      </c>
      <c r="H582" t="s">
        <v>314</v>
      </c>
      <c r="I582" t="s">
        <v>351</v>
      </c>
      <c r="J582" t="s">
        <v>354</v>
      </c>
      <c r="K582" t="s">
        <v>355</v>
      </c>
      <c r="L582" s="85" t="s">
        <v>423</v>
      </c>
      <c r="M582" s="85" t="s">
        <v>424</v>
      </c>
    </row>
    <row r="583" spans="1:13" x14ac:dyDescent="0.2">
      <c r="A583" t="s">
        <v>356</v>
      </c>
      <c r="B583" t="s">
        <v>2</v>
      </c>
      <c r="C583">
        <v>57</v>
      </c>
      <c r="D583">
        <v>81903.5</v>
      </c>
      <c r="E583">
        <v>1</v>
      </c>
      <c r="F583">
        <v>54.5</v>
      </c>
      <c r="G583">
        <v>1.133</v>
      </c>
      <c r="H583" t="s">
        <v>357</v>
      </c>
      <c r="I583">
        <v>2.1</v>
      </c>
      <c r="J583">
        <v>42416</v>
      </c>
      <c r="K583" t="s">
        <v>319</v>
      </c>
      <c r="L583" s="85"/>
      <c r="M583" s="85"/>
    </row>
    <row r="584" spans="1:13" x14ac:dyDescent="0.2">
      <c r="A584" t="s">
        <v>356</v>
      </c>
      <c r="B584" t="s">
        <v>1</v>
      </c>
      <c r="C584">
        <v>27</v>
      </c>
      <c r="D584">
        <v>161795.5</v>
      </c>
      <c r="E584">
        <v>1.1000000000000001</v>
      </c>
      <c r="F584">
        <v>7.56</v>
      </c>
      <c r="G584">
        <v>9.4E-2</v>
      </c>
      <c r="H584" t="s">
        <v>357</v>
      </c>
      <c r="I584">
        <v>1.2</v>
      </c>
      <c r="J584">
        <v>15527</v>
      </c>
      <c r="K584" t="s">
        <v>319</v>
      </c>
      <c r="L584" s="85"/>
      <c r="M584" s="85"/>
    </row>
    <row r="585" spans="1:13" x14ac:dyDescent="0.2">
      <c r="A585" t="s">
        <v>356</v>
      </c>
      <c r="B585" t="s">
        <v>227</v>
      </c>
      <c r="C585">
        <v>53</v>
      </c>
      <c r="D585">
        <v>871</v>
      </c>
      <c r="E585">
        <v>3.3</v>
      </c>
      <c r="F585">
        <v>0.21</v>
      </c>
      <c r="G585">
        <v>1.0999999999999999E-2</v>
      </c>
      <c r="H585" t="s">
        <v>357</v>
      </c>
      <c r="I585">
        <v>5.3</v>
      </c>
      <c r="J585">
        <v>328</v>
      </c>
      <c r="K585" t="s">
        <v>319</v>
      </c>
      <c r="L585" s="85"/>
      <c r="M585" s="85"/>
    </row>
    <row r="586" spans="1:13" x14ac:dyDescent="0.2">
      <c r="A586" t="s">
        <v>356</v>
      </c>
      <c r="B586" t="s">
        <v>228</v>
      </c>
      <c r="C586">
        <v>55</v>
      </c>
      <c r="D586">
        <v>8822.1</v>
      </c>
      <c r="E586">
        <v>10.5</v>
      </c>
      <c r="F586">
        <v>0.2</v>
      </c>
      <c r="G586">
        <v>2.5999999999999999E-2</v>
      </c>
      <c r="H586" t="s">
        <v>357</v>
      </c>
      <c r="I586">
        <v>13.4</v>
      </c>
      <c r="J586">
        <v>1912</v>
      </c>
      <c r="K586" t="s">
        <v>319</v>
      </c>
      <c r="L586" s="85"/>
      <c r="M586" s="85"/>
    </row>
    <row r="587" spans="1:13" x14ac:dyDescent="0.2">
      <c r="A587" t="s">
        <v>356</v>
      </c>
      <c r="B587" t="s">
        <v>229</v>
      </c>
      <c r="C587">
        <v>63</v>
      </c>
      <c r="D587">
        <v>7948.2</v>
      </c>
      <c r="E587">
        <v>0.9</v>
      </c>
      <c r="F587">
        <v>0.53</v>
      </c>
      <c r="G587">
        <v>5.0000000000000001E-3</v>
      </c>
      <c r="H587" t="s">
        <v>357</v>
      </c>
      <c r="I587">
        <v>1</v>
      </c>
      <c r="J587">
        <v>694</v>
      </c>
      <c r="K587" t="s">
        <v>319</v>
      </c>
      <c r="L587" s="85"/>
      <c r="M587" s="85"/>
    </row>
    <row r="588" spans="1:13" x14ac:dyDescent="0.2">
      <c r="A588" t="s">
        <v>356</v>
      </c>
      <c r="B588" t="s">
        <v>230</v>
      </c>
      <c r="C588">
        <v>66</v>
      </c>
      <c r="D588">
        <v>5643.8</v>
      </c>
      <c r="E588">
        <v>1.7</v>
      </c>
      <c r="F588">
        <v>1.66</v>
      </c>
      <c r="G588">
        <v>2.9000000000000001E-2</v>
      </c>
      <c r="H588" t="s">
        <v>357</v>
      </c>
      <c r="I588">
        <v>1.8</v>
      </c>
      <c r="J588">
        <v>255</v>
      </c>
      <c r="K588" t="s">
        <v>319</v>
      </c>
      <c r="L588" s="85"/>
      <c r="M588" s="85"/>
    </row>
    <row r="589" spans="1:13" x14ac:dyDescent="0.2">
      <c r="A589" t="s">
        <v>356</v>
      </c>
      <c r="B589" t="s">
        <v>231</v>
      </c>
      <c r="C589">
        <v>75</v>
      </c>
      <c r="D589">
        <v>376.7</v>
      </c>
      <c r="E589">
        <v>4</v>
      </c>
      <c r="F589">
        <v>0.11</v>
      </c>
      <c r="G589">
        <v>5.0000000000000001E-3</v>
      </c>
      <c r="H589" t="s">
        <v>357</v>
      </c>
      <c r="I589">
        <v>4.4000000000000004</v>
      </c>
      <c r="J589">
        <v>35</v>
      </c>
      <c r="K589" t="s">
        <v>319</v>
      </c>
      <c r="L589" s="85"/>
      <c r="M589" s="85"/>
    </row>
    <row r="590" spans="1:13" x14ac:dyDescent="0.2">
      <c r="A590" t="s">
        <v>356</v>
      </c>
      <c r="B590" t="s">
        <v>232</v>
      </c>
      <c r="C590">
        <v>111</v>
      </c>
      <c r="D590">
        <v>28</v>
      </c>
      <c r="E590">
        <v>16.399999999999999</v>
      </c>
      <c r="F590">
        <v>0</v>
      </c>
      <c r="G590">
        <v>1E-3</v>
      </c>
      <c r="H590" t="s">
        <v>357</v>
      </c>
      <c r="I590">
        <v>137.5</v>
      </c>
      <c r="J590">
        <v>25</v>
      </c>
      <c r="K590" t="s">
        <v>319</v>
      </c>
      <c r="L590" s="85"/>
      <c r="M590" s="85"/>
    </row>
    <row r="591" spans="1:13" x14ac:dyDescent="0.2">
      <c r="A591" t="s">
        <v>356</v>
      </c>
      <c r="B591" t="s">
        <v>233</v>
      </c>
      <c r="C591">
        <v>118</v>
      </c>
      <c r="D591">
        <v>820.4</v>
      </c>
      <c r="E591">
        <v>2.2000000000000002</v>
      </c>
      <c r="F591">
        <v>0.05</v>
      </c>
      <c r="G591">
        <v>2E-3</v>
      </c>
      <c r="H591" t="s">
        <v>357</v>
      </c>
      <c r="I591">
        <v>2.9</v>
      </c>
      <c r="J591">
        <v>217</v>
      </c>
      <c r="K591" t="s">
        <v>319</v>
      </c>
      <c r="L591" s="85"/>
      <c r="M591" s="85"/>
    </row>
    <row r="592" spans="1:13" x14ac:dyDescent="0.2">
      <c r="A592" t="s">
        <v>356</v>
      </c>
      <c r="B592" t="s">
        <v>234</v>
      </c>
      <c r="C592">
        <v>206</v>
      </c>
      <c r="D592">
        <v>504.7</v>
      </c>
      <c r="E592">
        <v>4.9000000000000004</v>
      </c>
      <c r="F592">
        <v>0.01</v>
      </c>
      <c r="G592">
        <v>3.0000000000000001E-3</v>
      </c>
      <c r="H592" t="s">
        <v>357</v>
      </c>
      <c r="I592">
        <v>48</v>
      </c>
      <c r="J592">
        <v>453</v>
      </c>
      <c r="K592" t="s">
        <v>319</v>
      </c>
      <c r="L592" s="145">
        <v>0.24099999999999999</v>
      </c>
      <c r="M592" s="85">
        <f>F592*L592</f>
        <v>2.4099999999999998E-3</v>
      </c>
    </row>
    <row r="593" spans="1:13" x14ac:dyDescent="0.2">
      <c r="A593" t="s">
        <v>356</v>
      </c>
      <c r="B593" t="s">
        <v>234</v>
      </c>
      <c r="C593">
        <v>207</v>
      </c>
      <c r="D593">
        <v>438.7</v>
      </c>
      <c r="E593">
        <v>9.3000000000000007</v>
      </c>
      <c r="F593">
        <v>0.01</v>
      </c>
      <c r="G593">
        <v>6.0000000000000001E-3</v>
      </c>
      <c r="H593" t="s">
        <v>357</v>
      </c>
      <c r="I593">
        <v>97.4</v>
      </c>
      <c r="J593">
        <v>397</v>
      </c>
      <c r="K593" t="s">
        <v>319</v>
      </c>
      <c r="L593" s="145">
        <v>0.221</v>
      </c>
      <c r="M593" s="85">
        <f t="shared" ref="M593:M594" si="32">F593*L593</f>
        <v>2.2100000000000002E-3</v>
      </c>
    </row>
    <row r="594" spans="1:13" x14ac:dyDescent="0.2">
      <c r="A594" t="s">
        <v>356</v>
      </c>
      <c r="B594" t="s">
        <v>234</v>
      </c>
      <c r="C594">
        <v>208</v>
      </c>
      <c r="D594">
        <v>1064.7</v>
      </c>
      <c r="E594">
        <v>1.7</v>
      </c>
      <c r="F594">
        <v>0</v>
      </c>
      <c r="G594">
        <v>1E-3</v>
      </c>
      <c r="H594" t="s">
        <v>357</v>
      </c>
      <c r="I594">
        <v>49.7</v>
      </c>
      <c r="J594">
        <v>1028</v>
      </c>
      <c r="K594" t="s">
        <v>319</v>
      </c>
      <c r="L594" s="145">
        <v>0.52400000000000002</v>
      </c>
      <c r="M594" s="85">
        <f t="shared" si="32"/>
        <v>0</v>
      </c>
    </row>
    <row r="595" spans="1:13" x14ac:dyDescent="0.2">
      <c r="A595" t="s">
        <v>338</v>
      </c>
      <c r="L595" s="85"/>
      <c r="M595" s="85"/>
    </row>
    <row r="596" spans="1:13" x14ac:dyDescent="0.2">
      <c r="A596" t="s">
        <v>339</v>
      </c>
      <c r="B596" t="s">
        <v>244</v>
      </c>
      <c r="L596" s="85"/>
      <c r="M596" s="85"/>
    </row>
    <row r="597" spans="1:13" x14ac:dyDescent="0.2">
      <c r="A597" t="s">
        <v>341</v>
      </c>
      <c r="B597" t="s">
        <v>342</v>
      </c>
      <c r="C597" t="s">
        <v>343</v>
      </c>
      <c r="D597" t="s">
        <v>397</v>
      </c>
      <c r="L597" s="85"/>
      <c r="M597" s="85"/>
    </row>
    <row r="598" spans="1:13" x14ac:dyDescent="0.2">
      <c r="A598" t="s">
        <v>345</v>
      </c>
      <c r="L598" s="85"/>
      <c r="M598" s="85"/>
    </row>
    <row r="599" spans="1:13" x14ac:dyDescent="0.2">
      <c r="A599" t="s">
        <v>346</v>
      </c>
      <c r="L599" s="85"/>
      <c r="M599" s="85"/>
    </row>
    <row r="600" spans="1:13" x14ac:dyDescent="0.2">
      <c r="A600" t="s">
        <v>347</v>
      </c>
      <c r="B600" t="s">
        <v>348</v>
      </c>
      <c r="C600" t="s">
        <v>349</v>
      </c>
      <c r="D600" t="s">
        <v>350</v>
      </c>
      <c r="E600" t="s">
        <v>351</v>
      </c>
      <c r="F600" t="s">
        <v>352</v>
      </c>
      <c r="G600" t="s">
        <v>353</v>
      </c>
      <c r="H600" t="s">
        <v>314</v>
      </c>
      <c r="I600" t="s">
        <v>351</v>
      </c>
      <c r="J600" t="s">
        <v>354</v>
      </c>
      <c r="K600" t="s">
        <v>355</v>
      </c>
      <c r="L600" s="85" t="s">
        <v>423</v>
      </c>
      <c r="M600" s="85" t="s">
        <v>424</v>
      </c>
    </row>
    <row r="601" spans="1:13" x14ac:dyDescent="0.2">
      <c r="A601" t="s">
        <v>356</v>
      </c>
      <c r="B601" t="s">
        <v>2</v>
      </c>
      <c r="C601">
        <v>57</v>
      </c>
      <c r="D601">
        <v>127844.2</v>
      </c>
      <c r="E601">
        <v>1.3</v>
      </c>
      <c r="F601">
        <v>117.91</v>
      </c>
      <c r="G601">
        <v>2.238</v>
      </c>
      <c r="H601" t="s">
        <v>357</v>
      </c>
      <c r="I601">
        <v>1.9</v>
      </c>
      <c r="J601">
        <v>42416</v>
      </c>
      <c r="K601" t="s">
        <v>319</v>
      </c>
      <c r="L601" s="85"/>
      <c r="M601" s="85"/>
    </row>
    <row r="602" spans="1:13" x14ac:dyDescent="0.2">
      <c r="A602" t="s">
        <v>356</v>
      </c>
      <c r="B602" t="s">
        <v>1</v>
      </c>
      <c r="C602">
        <v>27</v>
      </c>
      <c r="D602">
        <v>52009.2</v>
      </c>
      <c r="E602">
        <v>0.9</v>
      </c>
      <c r="F602">
        <v>1.89</v>
      </c>
      <c r="G602">
        <v>2.3E-2</v>
      </c>
      <c r="H602" t="s">
        <v>357</v>
      </c>
      <c r="I602">
        <v>1.2</v>
      </c>
      <c r="J602">
        <v>15527</v>
      </c>
      <c r="K602" t="s">
        <v>319</v>
      </c>
      <c r="L602" s="85"/>
      <c r="M602" s="85"/>
    </row>
    <row r="603" spans="1:13" x14ac:dyDescent="0.2">
      <c r="A603" t="s">
        <v>356</v>
      </c>
      <c r="B603" t="s">
        <v>227</v>
      </c>
      <c r="C603">
        <v>53</v>
      </c>
      <c r="D603">
        <v>1894.5</v>
      </c>
      <c r="E603">
        <v>2.9</v>
      </c>
      <c r="F603">
        <v>0.6</v>
      </c>
      <c r="G603">
        <v>2.1000000000000001E-2</v>
      </c>
      <c r="H603" t="s">
        <v>357</v>
      </c>
      <c r="I603">
        <v>3.5</v>
      </c>
      <c r="J603">
        <v>328</v>
      </c>
      <c r="K603" t="s">
        <v>319</v>
      </c>
      <c r="L603" s="85"/>
      <c r="M603" s="85"/>
    </row>
    <row r="604" spans="1:13" x14ac:dyDescent="0.2">
      <c r="A604" t="s">
        <v>356</v>
      </c>
      <c r="B604" t="s">
        <v>228</v>
      </c>
      <c r="C604">
        <v>55</v>
      </c>
      <c r="D604">
        <v>6908</v>
      </c>
      <c r="E604">
        <v>0.9</v>
      </c>
      <c r="F604">
        <v>0.14000000000000001</v>
      </c>
      <c r="G604">
        <v>2E-3</v>
      </c>
      <c r="H604" t="s">
        <v>357</v>
      </c>
      <c r="I604">
        <v>1.2</v>
      </c>
      <c r="J604">
        <v>1912</v>
      </c>
      <c r="K604" t="s">
        <v>319</v>
      </c>
      <c r="L604" s="85"/>
      <c r="M604" s="85"/>
    </row>
    <row r="605" spans="1:13" x14ac:dyDescent="0.2">
      <c r="A605" t="s">
        <v>356</v>
      </c>
      <c r="B605" t="s">
        <v>229</v>
      </c>
      <c r="C605">
        <v>63</v>
      </c>
      <c r="D605">
        <v>10657.3</v>
      </c>
      <c r="E605">
        <v>2.6</v>
      </c>
      <c r="F605">
        <v>0.73</v>
      </c>
      <c r="G605">
        <v>2.1000000000000001E-2</v>
      </c>
      <c r="H605" t="s">
        <v>357</v>
      </c>
      <c r="I605">
        <v>2.8</v>
      </c>
      <c r="J605">
        <v>694</v>
      </c>
      <c r="K605" t="s">
        <v>319</v>
      </c>
      <c r="L605" s="85"/>
      <c r="M605" s="85"/>
    </row>
    <row r="606" spans="1:13" x14ac:dyDescent="0.2">
      <c r="A606" t="s">
        <v>356</v>
      </c>
      <c r="B606" t="s">
        <v>230</v>
      </c>
      <c r="C606">
        <v>66</v>
      </c>
      <c r="D606">
        <v>9094.9</v>
      </c>
      <c r="E606">
        <v>2.1</v>
      </c>
      <c r="F606">
        <v>2.72</v>
      </c>
      <c r="G606">
        <v>5.7000000000000002E-2</v>
      </c>
      <c r="H606" t="s">
        <v>357</v>
      </c>
      <c r="I606">
        <v>2.1</v>
      </c>
      <c r="J606">
        <v>255</v>
      </c>
      <c r="K606" t="s">
        <v>319</v>
      </c>
      <c r="L606" s="85"/>
      <c r="M606" s="85"/>
    </row>
    <row r="607" spans="1:13" x14ac:dyDescent="0.2">
      <c r="A607" t="s">
        <v>356</v>
      </c>
      <c r="B607" t="s">
        <v>231</v>
      </c>
      <c r="C607">
        <v>75</v>
      </c>
      <c r="D607">
        <v>1062</v>
      </c>
      <c r="E607">
        <v>6.1</v>
      </c>
      <c r="F607">
        <v>0.33</v>
      </c>
      <c r="G607">
        <v>2.1000000000000001E-2</v>
      </c>
      <c r="H607" t="s">
        <v>357</v>
      </c>
      <c r="I607">
        <v>6.3</v>
      </c>
      <c r="J607">
        <v>35</v>
      </c>
      <c r="K607" t="s">
        <v>319</v>
      </c>
      <c r="L607" s="85"/>
      <c r="M607" s="85"/>
    </row>
    <row r="608" spans="1:13" x14ac:dyDescent="0.2">
      <c r="A608" t="s">
        <v>356</v>
      </c>
      <c r="B608" t="s">
        <v>232</v>
      </c>
      <c r="C608">
        <v>111</v>
      </c>
      <c r="D608">
        <v>20.7</v>
      </c>
      <c r="E608">
        <v>19.600000000000001</v>
      </c>
      <c r="F608">
        <v>0</v>
      </c>
      <c r="G608">
        <v>1E-3</v>
      </c>
      <c r="H608" t="s">
        <v>357</v>
      </c>
      <c r="I608">
        <v>101</v>
      </c>
      <c r="J608">
        <v>25</v>
      </c>
      <c r="K608" t="s">
        <v>319</v>
      </c>
      <c r="L608" s="85"/>
      <c r="M608" s="85"/>
    </row>
    <row r="609" spans="1:13" x14ac:dyDescent="0.2">
      <c r="A609" t="s">
        <v>356</v>
      </c>
      <c r="B609" t="s">
        <v>233</v>
      </c>
      <c r="C609">
        <v>118</v>
      </c>
      <c r="D609">
        <v>652</v>
      </c>
      <c r="E609">
        <v>4.7</v>
      </c>
      <c r="F609">
        <v>0.04</v>
      </c>
      <c r="G609">
        <v>3.0000000000000001E-3</v>
      </c>
      <c r="H609" t="s">
        <v>357</v>
      </c>
      <c r="I609">
        <v>7.1</v>
      </c>
      <c r="J609">
        <v>217</v>
      </c>
      <c r="K609" t="s">
        <v>319</v>
      </c>
      <c r="L609" s="85"/>
      <c r="M609" s="85"/>
    </row>
    <row r="610" spans="1:13" x14ac:dyDescent="0.2">
      <c r="A610" t="s">
        <v>356</v>
      </c>
      <c r="B610" t="s">
        <v>234</v>
      </c>
      <c r="C610">
        <v>206</v>
      </c>
      <c r="D610">
        <v>499</v>
      </c>
      <c r="E610">
        <v>7.1</v>
      </c>
      <c r="F610">
        <v>0</v>
      </c>
      <c r="G610">
        <v>4.0000000000000001E-3</v>
      </c>
      <c r="H610" t="s">
        <v>357</v>
      </c>
      <c r="I610">
        <v>77.900000000000006</v>
      </c>
      <c r="J610">
        <v>453</v>
      </c>
      <c r="K610" t="s">
        <v>319</v>
      </c>
      <c r="L610" s="145">
        <v>0.24099999999999999</v>
      </c>
      <c r="M610" s="85">
        <f>F610*L610</f>
        <v>0</v>
      </c>
    </row>
    <row r="611" spans="1:13" x14ac:dyDescent="0.2">
      <c r="A611" t="s">
        <v>356</v>
      </c>
      <c r="B611" t="s">
        <v>234</v>
      </c>
      <c r="C611">
        <v>207</v>
      </c>
      <c r="D611">
        <v>451</v>
      </c>
      <c r="E611">
        <v>2</v>
      </c>
      <c r="F611">
        <v>0.01</v>
      </c>
      <c r="G611">
        <v>1E-3</v>
      </c>
      <c r="H611" t="s">
        <v>357</v>
      </c>
      <c r="I611">
        <v>16.899999999999999</v>
      </c>
      <c r="J611">
        <v>397</v>
      </c>
      <c r="K611" t="s">
        <v>319</v>
      </c>
      <c r="L611" s="145">
        <v>0.221</v>
      </c>
      <c r="M611" s="85">
        <f t="shared" ref="M611:M612" si="33">F611*L611</f>
        <v>2.2100000000000002E-3</v>
      </c>
    </row>
    <row r="612" spans="1:13" x14ac:dyDescent="0.2">
      <c r="A612" t="s">
        <v>356</v>
      </c>
      <c r="B612" t="s">
        <v>234</v>
      </c>
      <c r="C612">
        <v>208</v>
      </c>
      <c r="D612">
        <v>1125.7</v>
      </c>
      <c r="E612">
        <v>2.1</v>
      </c>
      <c r="F612">
        <v>0.01</v>
      </c>
      <c r="G612">
        <v>1E-3</v>
      </c>
      <c r="H612" t="s">
        <v>357</v>
      </c>
      <c r="I612">
        <v>24.2</v>
      </c>
      <c r="J612">
        <v>1028</v>
      </c>
      <c r="K612" t="s">
        <v>319</v>
      </c>
      <c r="L612" s="145">
        <v>0.52400000000000002</v>
      </c>
      <c r="M612" s="85">
        <f t="shared" si="33"/>
        <v>5.2400000000000007E-3</v>
      </c>
    </row>
    <row r="613" spans="1:13" x14ac:dyDescent="0.2">
      <c r="A613" t="s">
        <v>338</v>
      </c>
      <c r="L613" s="85"/>
      <c r="M613" s="85"/>
    </row>
    <row r="614" spans="1:13" x14ac:dyDescent="0.2">
      <c r="A614" t="s">
        <v>339</v>
      </c>
      <c r="B614" t="s">
        <v>245</v>
      </c>
      <c r="L614" s="85"/>
      <c r="M614" s="85"/>
    </row>
    <row r="615" spans="1:13" x14ac:dyDescent="0.2">
      <c r="A615" t="s">
        <v>341</v>
      </c>
      <c r="B615" t="s">
        <v>342</v>
      </c>
      <c r="C615" t="s">
        <v>343</v>
      </c>
      <c r="D615" t="s">
        <v>398</v>
      </c>
      <c r="L615" s="85"/>
      <c r="M615" s="85"/>
    </row>
    <row r="616" spans="1:13" x14ac:dyDescent="0.2">
      <c r="A616" t="s">
        <v>345</v>
      </c>
      <c r="L616" s="85"/>
      <c r="M616" s="85"/>
    </row>
    <row r="617" spans="1:13" x14ac:dyDescent="0.2">
      <c r="A617" t="s">
        <v>346</v>
      </c>
      <c r="L617" s="85"/>
      <c r="M617" s="85"/>
    </row>
    <row r="618" spans="1:13" x14ac:dyDescent="0.2">
      <c r="A618" t="s">
        <v>347</v>
      </c>
      <c r="B618" t="s">
        <v>348</v>
      </c>
      <c r="C618" t="s">
        <v>349</v>
      </c>
      <c r="D618" t="s">
        <v>350</v>
      </c>
      <c r="E618" t="s">
        <v>351</v>
      </c>
      <c r="F618" t="s">
        <v>352</v>
      </c>
      <c r="G618" t="s">
        <v>353</v>
      </c>
      <c r="H618" t="s">
        <v>314</v>
      </c>
      <c r="I618" t="s">
        <v>351</v>
      </c>
      <c r="J618" t="s">
        <v>354</v>
      </c>
      <c r="K618" t="s">
        <v>355</v>
      </c>
      <c r="L618" s="85" t="s">
        <v>423</v>
      </c>
      <c r="M618" s="85" t="s">
        <v>424</v>
      </c>
    </row>
    <row r="619" spans="1:13" x14ac:dyDescent="0.2">
      <c r="A619" t="s">
        <v>356</v>
      </c>
      <c r="B619" t="s">
        <v>2</v>
      </c>
      <c r="C619">
        <v>57</v>
      </c>
      <c r="D619">
        <v>87125.6</v>
      </c>
      <c r="E619">
        <v>1.5</v>
      </c>
      <c r="F619">
        <v>61.71</v>
      </c>
      <c r="G619">
        <v>1.744</v>
      </c>
      <c r="H619" t="s">
        <v>357</v>
      </c>
      <c r="I619">
        <v>2.8</v>
      </c>
      <c r="J619">
        <v>42416</v>
      </c>
      <c r="K619" t="s">
        <v>319</v>
      </c>
      <c r="L619" s="85"/>
      <c r="M619" s="85"/>
    </row>
    <row r="620" spans="1:13" x14ac:dyDescent="0.2">
      <c r="A620" t="s">
        <v>356</v>
      </c>
      <c r="B620" t="s">
        <v>1</v>
      </c>
      <c r="C620">
        <v>27</v>
      </c>
      <c r="D620">
        <v>1256973.7</v>
      </c>
      <c r="E620">
        <v>1.3</v>
      </c>
      <c r="F620">
        <v>64.209999999999994</v>
      </c>
      <c r="G620">
        <v>0.85899999999999999</v>
      </c>
      <c r="H620" t="s">
        <v>357</v>
      </c>
      <c r="I620">
        <v>1.3</v>
      </c>
      <c r="J620">
        <v>15527</v>
      </c>
      <c r="K620" t="s">
        <v>319</v>
      </c>
      <c r="L620" s="85"/>
      <c r="M620" s="85"/>
    </row>
    <row r="621" spans="1:13" x14ac:dyDescent="0.2">
      <c r="A621" t="s">
        <v>356</v>
      </c>
      <c r="B621" t="s">
        <v>227</v>
      </c>
      <c r="C621">
        <v>53</v>
      </c>
      <c r="D621">
        <v>994.7</v>
      </c>
      <c r="E621">
        <v>5.4</v>
      </c>
      <c r="F621">
        <v>0.25</v>
      </c>
      <c r="G621">
        <v>2.1000000000000001E-2</v>
      </c>
      <c r="H621" t="s">
        <v>357</v>
      </c>
      <c r="I621">
        <v>8</v>
      </c>
      <c r="J621">
        <v>328</v>
      </c>
      <c r="K621" t="s">
        <v>319</v>
      </c>
      <c r="L621" s="85"/>
      <c r="M621" s="85"/>
    </row>
    <row r="622" spans="1:13" x14ac:dyDescent="0.2">
      <c r="A622" t="s">
        <v>356</v>
      </c>
      <c r="B622" t="s">
        <v>228</v>
      </c>
      <c r="C622">
        <v>55</v>
      </c>
      <c r="D622">
        <v>54461.599999999999</v>
      </c>
      <c r="E622">
        <v>0.5</v>
      </c>
      <c r="F622">
        <v>1.49</v>
      </c>
      <c r="G622">
        <v>8.0000000000000002E-3</v>
      </c>
      <c r="H622" t="s">
        <v>357</v>
      </c>
      <c r="I622">
        <v>0.6</v>
      </c>
      <c r="J622">
        <v>1912</v>
      </c>
      <c r="K622" t="s">
        <v>319</v>
      </c>
      <c r="L622" s="85"/>
      <c r="M622" s="85"/>
    </row>
    <row r="623" spans="1:13" x14ac:dyDescent="0.2">
      <c r="A623" t="s">
        <v>356</v>
      </c>
      <c r="B623" t="s">
        <v>229</v>
      </c>
      <c r="C623">
        <v>63</v>
      </c>
      <c r="D623">
        <v>10649.6</v>
      </c>
      <c r="E623">
        <v>1</v>
      </c>
      <c r="F623">
        <v>0.73</v>
      </c>
      <c r="G623">
        <v>8.0000000000000002E-3</v>
      </c>
      <c r="H623" t="s">
        <v>357</v>
      </c>
      <c r="I623">
        <v>1.1000000000000001</v>
      </c>
      <c r="J623">
        <v>694</v>
      </c>
      <c r="K623" t="s">
        <v>319</v>
      </c>
      <c r="L623" s="85"/>
      <c r="M623" s="85"/>
    </row>
    <row r="624" spans="1:13" x14ac:dyDescent="0.2">
      <c r="A624" t="s">
        <v>356</v>
      </c>
      <c r="B624" t="s">
        <v>230</v>
      </c>
      <c r="C624">
        <v>66</v>
      </c>
      <c r="D624">
        <v>12837.4</v>
      </c>
      <c r="E624">
        <v>0.9</v>
      </c>
      <c r="F624">
        <v>3.87</v>
      </c>
      <c r="G624">
        <v>3.5000000000000003E-2</v>
      </c>
      <c r="H624" t="s">
        <v>357</v>
      </c>
      <c r="I624">
        <v>0.9</v>
      </c>
      <c r="J624">
        <v>255</v>
      </c>
      <c r="K624" t="s">
        <v>319</v>
      </c>
      <c r="L624" s="85"/>
      <c r="M624" s="85"/>
    </row>
    <row r="625" spans="1:13" x14ac:dyDescent="0.2">
      <c r="A625" t="s">
        <v>356</v>
      </c>
      <c r="B625" t="s">
        <v>231</v>
      </c>
      <c r="C625">
        <v>75</v>
      </c>
      <c r="D625">
        <v>601</v>
      </c>
      <c r="E625">
        <v>1.6</v>
      </c>
      <c r="F625">
        <v>0.18</v>
      </c>
      <c r="G625">
        <v>3.0000000000000001E-3</v>
      </c>
      <c r="H625" t="s">
        <v>357</v>
      </c>
      <c r="I625">
        <v>1.7</v>
      </c>
      <c r="J625">
        <v>35</v>
      </c>
      <c r="K625" t="s">
        <v>319</v>
      </c>
      <c r="L625" s="85"/>
      <c r="M625" s="85"/>
    </row>
    <row r="626" spans="1:13" x14ac:dyDescent="0.2">
      <c r="A626" t="s">
        <v>356</v>
      </c>
      <c r="B626" t="s">
        <v>232</v>
      </c>
      <c r="C626">
        <v>111</v>
      </c>
      <c r="D626">
        <v>57.3</v>
      </c>
      <c r="E626">
        <v>5.3</v>
      </c>
      <c r="F626">
        <v>0.01</v>
      </c>
      <c r="G626">
        <v>1E-3</v>
      </c>
      <c r="H626" t="s">
        <v>357</v>
      </c>
      <c r="I626">
        <v>9.4</v>
      </c>
      <c r="J626">
        <v>25</v>
      </c>
      <c r="K626" t="s">
        <v>319</v>
      </c>
      <c r="L626" s="85"/>
      <c r="M626" s="85"/>
    </row>
    <row r="627" spans="1:13" x14ac:dyDescent="0.2">
      <c r="A627" t="s">
        <v>356</v>
      </c>
      <c r="B627" t="s">
        <v>233</v>
      </c>
      <c r="C627">
        <v>118</v>
      </c>
      <c r="D627">
        <v>733.4</v>
      </c>
      <c r="E627">
        <v>4.7</v>
      </c>
      <c r="F627">
        <v>0.04</v>
      </c>
      <c r="G627">
        <v>3.0000000000000001E-3</v>
      </c>
      <c r="H627" t="s">
        <v>357</v>
      </c>
      <c r="I627">
        <v>6.7</v>
      </c>
      <c r="J627">
        <v>217</v>
      </c>
      <c r="K627" t="s">
        <v>319</v>
      </c>
      <c r="L627" s="85"/>
      <c r="M627" s="85"/>
    </row>
    <row r="628" spans="1:13" x14ac:dyDescent="0.2">
      <c r="A628" t="s">
        <v>356</v>
      </c>
      <c r="B628" t="s">
        <v>234</v>
      </c>
      <c r="C628">
        <v>206</v>
      </c>
      <c r="D628">
        <v>881</v>
      </c>
      <c r="E628">
        <v>3.3</v>
      </c>
      <c r="F628">
        <v>0.04</v>
      </c>
      <c r="G628">
        <v>3.0000000000000001E-3</v>
      </c>
      <c r="H628" t="s">
        <v>357</v>
      </c>
      <c r="I628">
        <v>6.8</v>
      </c>
      <c r="J628">
        <v>453</v>
      </c>
      <c r="K628" t="s">
        <v>319</v>
      </c>
      <c r="L628" s="145">
        <v>0.24099999999999999</v>
      </c>
      <c r="M628" s="85">
        <f>F628*L628</f>
        <v>9.6399999999999993E-3</v>
      </c>
    </row>
    <row r="629" spans="1:13" x14ac:dyDescent="0.2">
      <c r="A629" t="s">
        <v>356</v>
      </c>
      <c r="B629" t="s">
        <v>234</v>
      </c>
      <c r="C629">
        <v>207</v>
      </c>
      <c r="D629">
        <v>795</v>
      </c>
      <c r="E629">
        <v>2.7</v>
      </c>
      <c r="F629">
        <v>0.05</v>
      </c>
      <c r="G629">
        <v>3.0000000000000001E-3</v>
      </c>
      <c r="H629" t="s">
        <v>357</v>
      </c>
      <c r="I629">
        <v>5.4</v>
      </c>
      <c r="J629">
        <v>397</v>
      </c>
      <c r="K629" t="s">
        <v>319</v>
      </c>
      <c r="L629" s="145">
        <v>0.221</v>
      </c>
      <c r="M629" s="85">
        <f t="shared" ref="M629:M630" si="34">F629*L629</f>
        <v>1.1050000000000001E-2</v>
      </c>
    </row>
    <row r="630" spans="1:13" x14ac:dyDescent="0.2">
      <c r="A630" t="s">
        <v>356</v>
      </c>
      <c r="B630" t="s">
        <v>234</v>
      </c>
      <c r="C630">
        <v>208</v>
      </c>
      <c r="D630">
        <v>1961.1</v>
      </c>
      <c r="E630">
        <v>2.5</v>
      </c>
      <c r="F630">
        <v>0.05</v>
      </c>
      <c r="G630">
        <v>3.0000000000000001E-3</v>
      </c>
      <c r="H630" t="s">
        <v>357</v>
      </c>
      <c r="I630">
        <v>5.2</v>
      </c>
      <c r="J630">
        <v>1028</v>
      </c>
      <c r="K630" t="s">
        <v>319</v>
      </c>
      <c r="L630" s="145">
        <v>0.52400000000000002</v>
      </c>
      <c r="M630" s="85">
        <f t="shared" si="34"/>
        <v>2.6200000000000001E-2</v>
      </c>
    </row>
    <row r="631" spans="1:13" x14ac:dyDescent="0.2">
      <c r="A631" t="s">
        <v>338</v>
      </c>
      <c r="L631" s="85"/>
      <c r="M631" s="85"/>
    </row>
    <row r="632" spans="1:13" x14ac:dyDescent="0.2">
      <c r="A632" t="s">
        <v>339</v>
      </c>
      <c r="B632" t="s">
        <v>106</v>
      </c>
      <c r="L632" s="85"/>
      <c r="M632" s="85"/>
    </row>
    <row r="633" spans="1:13" x14ac:dyDescent="0.2">
      <c r="A633" t="s">
        <v>341</v>
      </c>
      <c r="B633" t="s">
        <v>342</v>
      </c>
      <c r="C633" t="s">
        <v>343</v>
      </c>
      <c r="D633" t="s">
        <v>399</v>
      </c>
      <c r="L633" s="85"/>
      <c r="M633" s="85"/>
    </row>
    <row r="634" spans="1:13" x14ac:dyDescent="0.2">
      <c r="A634" t="s">
        <v>345</v>
      </c>
      <c r="L634" s="85"/>
      <c r="M634" s="85"/>
    </row>
    <row r="635" spans="1:13" x14ac:dyDescent="0.2">
      <c r="A635" t="s">
        <v>346</v>
      </c>
      <c r="L635" s="85"/>
      <c r="M635" s="85"/>
    </row>
    <row r="636" spans="1:13" x14ac:dyDescent="0.2">
      <c r="A636" t="s">
        <v>347</v>
      </c>
      <c r="B636" t="s">
        <v>348</v>
      </c>
      <c r="C636" t="s">
        <v>349</v>
      </c>
      <c r="D636" t="s">
        <v>350</v>
      </c>
      <c r="E636" t="s">
        <v>351</v>
      </c>
      <c r="F636" t="s">
        <v>352</v>
      </c>
      <c r="G636" t="s">
        <v>353</v>
      </c>
      <c r="H636" t="s">
        <v>314</v>
      </c>
      <c r="I636" t="s">
        <v>351</v>
      </c>
      <c r="J636" t="s">
        <v>354</v>
      </c>
      <c r="K636" t="s">
        <v>355</v>
      </c>
      <c r="L636" s="85" t="s">
        <v>423</v>
      </c>
      <c r="M636" s="85" t="s">
        <v>424</v>
      </c>
    </row>
    <row r="637" spans="1:13" x14ac:dyDescent="0.2">
      <c r="A637" t="s">
        <v>356</v>
      </c>
      <c r="B637" t="s">
        <v>2</v>
      </c>
      <c r="C637">
        <v>57</v>
      </c>
      <c r="D637">
        <v>41962.5</v>
      </c>
      <c r="E637">
        <v>1.1000000000000001</v>
      </c>
      <c r="F637">
        <v>-0.63</v>
      </c>
      <c r="G637">
        <v>0.64400000000000002</v>
      </c>
      <c r="H637" t="s">
        <v>357</v>
      </c>
      <c r="I637">
        <v>103</v>
      </c>
      <c r="J637">
        <v>42416</v>
      </c>
      <c r="K637" t="s">
        <v>319</v>
      </c>
      <c r="L637" s="85"/>
      <c r="M637" s="85"/>
    </row>
    <row r="638" spans="1:13" x14ac:dyDescent="0.2">
      <c r="A638" t="s">
        <v>356</v>
      </c>
      <c r="B638" t="s">
        <v>1</v>
      </c>
      <c r="C638">
        <v>27</v>
      </c>
      <c r="D638">
        <v>13888.2</v>
      </c>
      <c r="E638">
        <v>13.3</v>
      </c>
      <c r="F638">
        <v>-0.08</v>
      </c>
      <c r="G638">
        <v>9.6000000000000002E-2</v>
      </c>
      <c r="H638" t="s">
        <v>357</v>
      </c>
      <c r="I638">
        <v>112.8</v>
      </c>
      <c r="J638">
        <v>15527</v>
      </c>
      <c r="K638" t="s">
        <v>319</v>
      </c>
      <c r="L638" s="85"/>
      <c r="M638" s="85"/>
    </row>
    <row r="639" spans="1:13" x14ac:dyDescent="0.2">
      <c r="A639" t="s">
        <v>356</v>
      </c>
      <c r="B639" t="s">
        <v>227</v>
      </c>
      <c r="C639">
        <v>53</v>
      </c>
      <c r="D639">
        <v>421</v>
      </c>
      <c r="E639">
        <v>9.3000000000000007</v>
      </c>
      <c r="F639">
        <v>0.04</v>
      </c>
      <c r="G639">
        <v>1.4999999999999999E-2</v>
      </c>
      <c r="H639" t="s">
        <v>357</v>
      </c>
      <c r="I639">
        <v>41.8</v>
      </c>
      <c r="J639">
        <v>328</v>
      </c>
      <c r="K639" t="s">
        <v>319</v>
      </c>
      <c r="L639" s="85"/>
      <c r="M639" s="85"/>
    </row>
    <row r="640" spans="1:13" x14ac:dyDescent="0.2">
      <c r="A640" t="s">
        <v>356</v>
      </c>
      <c r="B640" t="s">
        <v>228</v>
      </c>
      <c r="C640">
        <v>55</v>
      </c>
      <c r="D640">
        <v>1521.7</v>
      </c>
      <c r="E640">
        <v>2.9</v>
      </c>
      <c r="F640">
        <v>-0.01</v>
      </c>
      <c r="G640">
        <v>1E-3</v>
      </c>
      <c r="H640" t="s">
        <v>357</v>
      </c>
      <c r="I640">
        <v>11.3</v>
      </c>
      <c r="J640">
        <v>1912</v>
      </c>
      <c r="K640" t="s">
        <v>319</v>
      </c>
      <c r="L640" s="85"/>
      <c r="M640" s="85"/>
    </row>
    <row r="641" spans="1:13" x14ac:dyDescent="0.2">
      <c r="A641" t="s">
        <v>356</v>
      </c>
      <c r="B641" t="s">
        <v>229</v>
      </c>
      <c r="C641">
        <v>63</v>
      </c>
      <c r="D641">
        <v>918.7</v>
      </c>
      <c r="E641">
        <v>29.5</v>
      </c>
      <c r="F641">
        <v>0.02</v>
      </c>
      <c r="G641">
        <v>0.02</v>
      </c>
      <c r="H641" t="s">
        <v>357</v>
      </c>
      <c r="I641">
        <v>120.7</v>
      </c>
      <c r="J641">
        <v>694</v>
      </c>
      <c r="K641" t="s">
        <v>319</v>
      </c>
      <c r="L641" s="85"/>
      <c r="M641" s="85"/>
    </row>
    <row r="642" spans="1:13" x14ac:dyDescent="0.2">
      <c r="A642" t="s">
        <v>356</v>
      </c>
      <c r="B642" t="s">
        <v>230</v>
      </c>
      <c r="C642">
        <v>66</v>
      </c>
      <c r="D642">
        <v>299.7</v>
      </c>
      <c r="E642">
        <v>14.5</v>
      </c>
      <c r="F642">
        <v>0.01</v>
      </c>
      <c r="G642">
        <v>1.2999999999999999E-2</v>
      </c>
      <c r="H642" t="s">
        <v>357</v>
      </c>
      <c r="I642">
        <v>97.3</v>
      </c>
      <c r="J642">
        <v>255</v>
      </c>
      <c r="K642" t="s">
        <v>319</v>
      </c>
      <c r="L642" s="85"/>
      <c r="M642" s="85"/>
    </row>
    <row r="643" spans="1:13" x14ac:dyDescent="0.2">
      <c r="A643" t="s">
        <v>356</v>
      </c>
      <c r="B643" t="s">
        <v>231</v>
      </c>
      <c r="C643">
        <v>75</v>
      </c>
      <c r="D643">
        <v>35.700000000000003</v>
      </c>
      <c r="E643">
        <v>18</v>
      </c>
      <c r="F643">
        <v>0</v>
      </c>
      <c r="G643">
        <v>2E-3</v>
      </c>
      <c r="H643" t="s">
        <v>357</v>
      </c>
      <c r="I643">
        <v>1928.7</v>
      </c>
      <c r="J643">
        <v>35</v>
      </c>
      <c r="K643" t="s">
        <v>319</v>
      </c>
      <c r="L643" s="85"/>
      <c r="M643" s="85"/>
    </row>
    <row r="644" spans="1:13" x14ac:dyDescent="0.2">
      <c r="A644" t="s">
        <v>356</v>
      </c>
      <c r="B644" t="s">
        <v>232</v>
      </c>
      <c r="C644">
        <v>111</v>
      </c>
      <c r="D644">
        <v>14.7</v>
      </c>
      <c r="E644">
        <v>17.2</v>
      </c>
      <c r="F644">
        <v>0</v>
      </c>
      <c r="G644">
        <v>1E-3</v>
      </c>
      <c r="H644" t="s">
        <v>357</v>
      </c>
      <c r="I644">
        <v>25.2</v>
      </c>
      <c r="J644">
        <v>25</v>
      </c>
      <c r="K644" t="s">
        <v>319</v>
      </c>
      <c r="L644" s="85"/>
      <c r="M644" s="85"/>
    </row>
    <row r="645" spans="1:13" x14ac:dyDescent="0.2">
      <c r="A645" t="s">
        <v>356</v>
      </c>
      <c r="B645" t="s">
        <v>233</v>
      </c>
      <c r="C645">
        <v>118</v>
      </c>
      <c r="D645">
        <v>126</v>
      </c>
      <c r="E645">
        <v>8.1</v>
      </c>
      <c r="F645">
        <v>-0.01</v>
      </c>
      <c r="G645">
        <v>1E-3</v>
      </c>
      <c r="H645" t="s">
        <v>357</v>
      </c>
      <c r="I645">
        <v>11.2</v>
      </c>
      <c r="J645">
        <v>217</v>
      </c>
      <c r="K645" t="s">
        <v>319</v>
      </c>
      <c r="L645" s="85"/>
      <c r="M645" s="85"/>
    </row>
    <row r="646" spans="1:13" x14ac:dyDescent="0.2">
      <c r="A646" t="s">
        <v>356</v>
      </c>
      <c r="B646" t="s">
        <v>234</v>
      </c>
      <c r="C646">
        <v>206</v>
      </c>
      <c r="D646">
        <v>444.7</v>
      </c>
      <c r="E646">
        <v>3</v>
      </c>
      <c r="F646">
        <v>0</v>
      </c>
      <c r="G646">
        <v>1E-3</v>
      </c>
      <c r="H646" t="s">
        <v>357</v>
      </c>
      <c r="I646">
        <v>153.69999999999999</v>
      </c>
      <c r="J646">
        <v>453</v>
      </c>
      <c r="K646" t="s">
        <v>319</v>
      </c>
      <c r="L646" s="145">
        <v>0.24099999999999999</v>
      </c>
      <c r="M646" s="85">
        <f>F646*L646</f>
        <v>0</v>
      </c>
    </row>
    <row r="647" spans="1:13" x14ac:dyDescent="0.2">
      <c r="A647" t="s">
        <v>356</v>
      </c>
      <c r="B647" t="s">
        <v>234</v>
      </c>
      <c r="C647">
        <v>207</v>
      </c>
      <c r="D647">
        <v>400</v>
      </c>
      <c r="E647">
        <v>9.9</v>
      </c>
      <c r="F647">
        <v>0</v>
      </c>
      <c r="G647">
        <v>5.0000000000000001E-3</v>
      </c>
      <c r="H647" t="s">
        <v>357</v>
      </c>
      <c r="I647">
        <v>1185.3</v>
      </c>
      <c r="J647">
        <v>397</v>
      </c>
      <c r="K647" t="s">
        <v>319</v>
      </c>
      <c r="L647" s="145">
        <v>0.221</v>
      </c>
      <c r="M647" s="85">
        <f t="shared" ref="M647:M648" si="35">F647*L647</f>
        <v>0</v>
      </c>
    </row>
    <row r="648" spans="1:13" x14ac:dyDescent="0.2">
      <c r="A648" t="s">
        <v>356</v>
      </c>
      <c r="B648" t="s">
        <v>234</v>
      </c>
      <c r="C648">
        <v>208</v>
      </c>
      <c r="D648">
        <v>990.4</v>
      </c>
      <c r="E648">
        <v>3.5</v>
      </c>
      <c r="F648">
        <v>0</v>
      </c>
      <c r="G648">
        <v>2E-3</v>
      </c>
      <c r="H648" t="s">
        <v>357</v>
      </c>
      <c r="I648">
        <v>91.7</v>
      </c>
      <c r="J648">
        <v>1028</v>
      </c>
      <c r="K648" t="s">
        <v>319</v>
      </c>
      <c r="L648" s="145">
        <v>0.52400000000000002</v>
      </c>
      <c r="M648" s="85">
        <f t="shared" si="35"/>
        <v>0</v>
      </c>
    </row>
    <row r="649" spans="1:13" x14ac:dyDescent="0.2">
      <c r="A649" t="s">
        <v>338</v>
      </c>
      <c r="L649" s="85"/>
    </row>
    <row r="650" spans="1:13" x14ac:dyDescent="0.2">
      <c r="A650" t="s">
        <v>339</v>
      </c>
      <c r="B650" t="s">
        <v>107</v>
      </c>
      <c r="L650" s="85"/>
    </row>
    <row r="651" spans="1:13" x14ac:dyDescent="0.2">
      <c r="A651" t="s">
        <v>341</v>
      </c>
      <c r="B651" t="s">
        <v>342</v>
      </c>
      <c r="C651" t="s">
        <v>343</v>
      </c>
      <c r="D651" t="s">
        <v>400</v>
      </c>
      <c r="L651" s="85"/>
    </row>
    <row r="652" spans="1:13" x14ac:dyDescent="0.2">
      <c r="A652" t="s">
        <v>345</v>
      </c>
      <c r="L652" s="85"/>
    </row>
    <row r="653" spans="1:13" x14ac:dyDescent="0.2">
      <c r="A653" t="s">
        <v>346</v>
      </c>
      <c r="L653" s="85"/>
    </row>
    <row r="654" spans="1:13" x14ac:dyDescent="0.2">
      <c r="A654" t="s">
        <v>347</v>
      </c>
      <c r="B654" t="s">
        <v>348</v>
      </c>
      <c r="C654" t="s">
        <v>349</v>
      </c>
      <c r="D654" t="s">
        <v>350</v>
      </c>
      <c r="E654" t="s">
        <v>351</v>
      </c>
      <c r="F654" t="s">
        <v>352</v>
      </c>
      <c r="G654" t="s">
        <v>353</v>
      </c>
      <c r="H654" t="s">
        <v>314</v>
      </c>
      <c r="I654" t="s">
        <v>351</v>
      </c>
      <c r="J654" t="s">
        <v>354</v>
      </c>
      <c r="K654" t="s">
        <v>355</v>
      </c>
      <c r="L654" s="85" t="s">
        <v>423</v>
      </c>
      <c r="M654" s="85" t="s">
        <v>424</v>
      </c>
    </row>
    <row r="655" spans="1:13" x14ac:dyDescent="0.2">
      <c r="A655" t="s">
        <v>356</v>
      </c>
      <c r="B655" t="s">
        <v>2</v>
      </c>
      <c r="C655">
        <v>57</v>
      </c>
      <c r="D655">
        <v>42106</v>
      </c>
      <c r="E655">
        <v>0.6</v>
      </c>
      <c r="F655">
        <v>-0.43</v>
      </c>
      <c r="G655">
        <v>0.373</v>
      </c>
      <c r="H655" t="s">
        <v>357</v>
      </c>
      <c r="I655">
        <v>87.3</v>
      </c>
      <c r="J655">
        <v>42416</v>
      </c>
      <c r="K655" t="s">
        <v>319</v>
      </c>
      <c r="L655" s="85"/>
      <c r="M655" s="85"/>
    </row>
    <row r="656" spans="1:13" x14ac:dyDescent="0.2">
      <c r="A656" t="s">
        <v>356</v>
      </c>
      <c r="B656" t="s">
        <v>1</v>
      </c>
      <c r="C656">
        <v>27</v>
      </c>
      <c r="D656">
        <v>10817.8</v>
      </c>
      <c r="E656">
        <v>2.2999999999999998</v>
      </c>
      <c r="F656">
        <v>-0.24</v>
      </c>
      <c r="G656">
        <v>1.2999999999999999E-2</v>
      </c>
      <c r="H656" t="s">
        <v>357</v>
      </c>
      <c r="I656">
        <v>5.4</v>
      </c>
      <c r="J656">
        <v>15527</v>
      </c>
      <c r="K656" t="s">
        <v>319</v>
      </c>
      <c r="L656" s="85"/>
      <c r="M656" s="85"/>
    </row>
    <row r="657" spans="1:13" x14ac:dyDescent="0.2">
      <c r="A657" t="s">
        <v>356</v>
      </c>
      <c r="B657" t="s">
        <v>227</v>
      </c>
      <c r="C657">
        <v>53</v>
      </c>
      <c r="D657">
        <v>361.7</v>
      </c>
      <c r="E657">
        <v>4.3</v>
      </c>
      <c r="F657">
        <v>0.01</v>
      </c>
      <c r="G657">
        <v>6.0000000000000001E-3</v>
      </c>
      <c r="H657" t="s">
        <v>357</v>
      </c>
      <c r="I657">
        <v>45.6</v>
      </c>
      <c r="J657">
        <v>328</v>
      </c>
      <c r="K657" t="s">
        <v>319</v>
      </c>
      <c r="L657" s="85"/>
      <c r="M657" s="85"/>
    </row>
    <row r="658" spans="1:13" x14ac:dyDescent="0.2">
      <c r="A658" t="s">
        <v>356</v>
      </c>
      <c r="B658" t="s">
        <v>228</v>
      </c>
      <c r="C658">
        <v>55</v>
      </c>
      <c r="D658">
        <v>1341.7</v>
      </c>
      <c r="E658">
        <v>2.2999999999999998</v>
      </c>
      <c r="F658">
        <v>-0.02</v>
      </c>
      <c r="G658">
        <v>1E-3</v>
      </c>
      <c r="H658" t="s">
        <v>357</v>
      </c>
      <c r="I658">
        <v>5.5</v>
      </c>
      <c r="J658">
        <v>1912</v>
      </c>
      <c r="K658" t="s">
        <v>319</v>
      </c>
      <c r="L658" s="85"/>
      <c r="M658" s="85"/>
    </row>
    <row r="659" spans="1:13" x14ac:dyDescent="0.2">
      <c r="A659" t="s">
        <v>356</v>
      </c>
      <c r="B659" t="s">
        <v>229</v>
      </c>
      <c r="C659">
        <v>63</v>
      </c>
      <c r="D659">
        <v>674.3</v>
      </c>
      <c r="E659">
        <v>5.2</v>
      </c>
      <c r="F659">
        <v>0</v>
      </c>
      <c r="G659">
        <v>3.0000000000000001E-3</v>
      </c>
      <c r="H659" t="s">
        <v>357</v>
      </c>
      <c r="I659">
        <v>178.5</v>
      </c>
      <c r="J659">
        <v>694</v>
      </c>
      <c r="K659" t="s">
        <v>319</v>
      </c>
      <c r="L659" s="85"/>
      <c r="M659" s="85"/>
    </row>
    <row r="660" spans="1:13" x14ac:dyDescent="0.2">
      <c r="A660" t="s">
        <v>356</v>
      </c>
      <c r="B660" t="s">
        <v>230</v>
      </c>
      <c r="C660">
        <v>66</v>
      </c>
      <c r="D660">
        <v>239.3</v>
      </c>
      <c r="E660">
        <v>8.4</v>
      </c>
      <c r="F660">
        <v>0</v>
      </c>
      <c r="G660">
        <v>6.0000000000000001E-3</v>
      </c>
      <c r="H660" t="s">
        <v>357</v>
      </c>
      <c r="I660">
        <v>129</v>
      </c>
      <c r="J660">
        <v>255</v>
      </c>
      <c r="K660" t="s">
        <v>319</v>
      </c>
      <c r="L660" s="85"/>
      <c r="M660" s="85"/>
    </row>
    <row r="661" spans="1:13" x14ac:dyDescent="0.2">
      <c r="A661" t="s">
        <v>356</v>
      </c>
      <c r="B661" t="s">
        <v>231</v>
      </c>
      <c r="C661">
        <v>75</v>
      </c>
      <c r="D661">
        <v>31</v>
      </c>
      <c r="E661">
        <v>14.8</v>
      </c>
      <c r="F661">
        <v>0</v>
      </c>
      <c r="G661">
        <v>1E-3</v>
      </c>
      <c r="H661" t="s">
        <v>357</v>
      </c>
      <c r="I661">
        <v>105.8</v>
      </c>
      <c r="J661">
        <v>35</v>
      </c>
      <c r="K661" t="s">
        <v>319</v>
      </c>
      <c r="L661" s="85"/>
      <c r="M661" s="85"/>
    </row>
    <row r="662" spans="1:13" x14ac:dyDescent="0.2">
      <c r="A662" t="s">
        <v>356</v>
      </c>
      <c r="B662" t="s">
        <v>232</v>
      </c>
      <c r="C662">
        <v>111</v>
      </c>
      <c r="D662">
        <v>9</v>
      </c>
      <c r="E662">
        <v>11.1</v>
      </c>
      <c r="F662">
        <v>0</v>
      </c>
      <c r="G662">
        <v>0</v>
      </c>
      <c r="H662" t="s">
        <v>357</v>
      </c>
      <c r="I662">
        <v>6.4</v>
      </c>
      <c r="J662">
        <v>25</v>
      </c>
      <c r="K662" t="s">
        <v>319</v>
      </c>
      <c r="L662" s="85"/>
      <c r="M662" s="85"/>
    </row>
    <row r="663" spans="1:13" x14ac:dyDescent="0.2">
      <c r="A663" t="s">
        <v>356</v>
      </c>
      <c r="B663" t="s">
        <v>233</v>
      </c>
      <c r="C663">
        <v>118</v>
      </c>
      <c r="D663">
        <v>123</v>
      </c>
      <c r="E663">
        <v>7.8</v>
      </c>
      <c r="F663">
        <v>-0.01</v>
      </c>
      <c r="G663">
        <v>1E-3</v>
      </c>
      <c r="H663" t="s">
        <v>357</v>
      </c>
      <c r="I663">
        <v>10.199999999999999</v>
      </c>
      <c r="J663">
        <v>217</v>
      </c>
      <c r="K663" t="s">
        <v>319</v>
      </c>
      <c r="L663" s="85"/>
      <c r="M663" s="85"/>
    </row>
    <row r="664" spans="1:13" x14ac:dyDescent="0.2">
      <c r="A664" t="s">
        <v>356</v>
      </c>
      <c r="B664" t="s">
        <v>234</v>
      </c>
      <c r="C664">
        <v>206</v>
      </c>
      <c r="D664">
        <v>458.3</v>
      </c>
      <c r="E664">
        <v>8.1</v>
      </c>
      <c r="F664">
        <v>0</v>
      </c>
      <c r="G664">
        <v>4.0000000000000001E-3</v>
      </c>
      <c r="H664" t="s">
        <v>357</v>
      </c>
      <c r="I664">
        <v>740.1</v>
      </c>
      <c r="J664">
        <v>453</v>
      </c>
      <c r="K664" t="s">
        <v>319</v>
      </c>
      <c r="L664" s="145">
        <v>0.24099999999999999</v>
      </c>
      <c r="M664" s="85">
        <f>F664*L664</f>
        <v>0</v>
      </c>
    </row>
    <row r="665" spans="1:13" x14ac:dyDescent="0.2">
      <c r="A665" t="s">
        <v>356</v>
      </c>
      <c r="B665" t="s">
        <v>234</v>
      </c>
      <c r="C665">
        <v>207</v>
      </c>
      <c r="D665">
        <v>379.3</v>
      </c>
      <c r="E665">
        <v>3.6</v>
      </c>
      <c r="F665">
        <v>0</v>
      </c>
      <c r="G665">
        <v>2E-3</v>
      </c>
      <c r="H665" t="s">
        <v>357</v>
      </c>
      <c r="I665">
        <v>78.8</v>
      </c>
      <c r="J665">
        <v>397</v>
      </c>
      <c r="K665" t="s">
        <v>319</v>
      </c>
      <c r="L665" s="145">
        <v>0.221</v>
      </c>
      <c r="M665" s="85">
        <f t="shared" ref="M665:M666" si="36">F665*L665</f>
        <v>0</v>
      </c>
    </row>
    <row r="666" spans="1:13" x14ac:dyDescent="0.2">
      <c r="A666" t="s">
        <v>356</v>
      </c>
      <c r="B666" t="s">
        <v>234</v>
      </c>
      <c r="C666">
        <v>208</v>
      </c>
      <c r="D666">
        <v>907.4</v>
      </c>
      <c r="E666">
        <v>1.5</v>
      </c>
      <c r="F666">
        <v>-0.01</v>
      </c>
      <c r="G666">
        <v>1E-3</v>
      </c>
      <c r="H666" t="s">
        <v>357</v>
      </c>
      <c r="I666">
        <v>10.9</v>
      </c>
      <c r="J666">
        <v>1028</v>
      </c>
      <c r="K666" t="s">
        <v>319</v>
      </c>
      <c r="L666" s="145">
        <v>0.52400000000000002</v>
      </c>
      <c r="M666" s="85">
        <f t="shared" si="36"/>
        <v>-5.2400000000000007E-3</v>
      </c>
    </row>
    <row r="667" spans="1:13" x14ac:dyDescent="0.2">
      <c r="A667" t="s">
        <v>338</v>
      </c>
      <c r="L667" s="85"/>
      <c r="M667" s="85"/>
    </row>
    <row r="668" spans="1:13" x14ac:dyDescent="0.2">
      <c r="A668" t="s">
        <v>339</v>
      </c>
      <c r="B668" t="s">
        <v>108</v>
      </c>
      <c r="L668" s="85"/>
      <c r="M668" s="85"/>
    </row>
    <row r="669" spans="1:13" x14ac:dyDescent="0.2">
      <c r="A669" t="s">
        <v>341</v>
      </c>
      <c r="B669" t="s">
        <v>342</v>
      </c>
      <c r="C669" t="s">
        <v>343</v>
      </c>
      <c r="D669" t="s">
        <v>401</v>
      </c>
      <c r="L669" s="85"/>
      <c r="M669" s="85"/>
    </row>
    <row r="670" spans="1:13" x14ac:dyDescent="0.2">
      <c r="A670" t="s">
        <v>345</v>
      </c>
      <c r="L670" s="85"/>
      <c r="M670" s="85"/>
    </row>
    <row r="671" spans="1:13" x14ac:dyDescent="0.2">
      <c r="A671" t="s">
        <v>346</v>
      </c>
      <c r="L671" s="85"/>
      <c r="M671" s="85"/>
    </row>
    <row r="672" spans="1:13" x14ac:dyDescent="0.2">
      <c r="A672" t="s">
        <v>347</v>
      </c>
      <c r="B672" t="s">
        <v>348</v>
      </c>
      <c r="C672" t="s">
        <v>349</v>
      </c>
      <c r="D672" t="s">
        <v>350</v>
      </c>
      <c r="E672" t="s">
        <v>351</v>
      </c>
      <c r="F672" t="s">
        <v>352</v>
      </c>
      <c r="G672" t="s">
        <v>353</v>
      </c>
      <c r="H672" t="s">
        <v>314</v>
      </c>
      <c r="I672" t="s">
        <v>351</v>
      </c>
      <c r="J672" t="s">
        <v>354</v>
      </c>
      <c r="K672" t="s">
        <v>355</v>
      </c>
      <c r="L672" s="85" t="s">
        <v>423</v>
      </c>
      <c r="M672" s="85" t="s">
        <v>424</v>
      </c>
    </row>
    <row r="673" spans="1:13" x14ac:dyDescent="0.2">
      <c r="A673" t="s">
        <v>356</v>
      </c>
      <c r="B673" t="s">
        <v>2</v>
      </c>
      <c r="C673">
        <v>57</v>
      </c>
      <c r="D673">
        <v>42522.2</v>
      </c>
      <c r="E673">
        <v>1.7</v>
      </c>
      <c r="F673">
        <v>0.15</v>
      </c>
      <c r="G673">
        <v>0.98</v>
      </c>
      <c r="H673" t="s">
        <v>357</v>
      </c>
      <c r="I673">
        <v>665.8</v>
      </c>
      <c r="J673">
        <v>42416</v>
      </c>
      <c r="K673" t="s">
        <v>319</v>
      </c>
      <c r="L673" s="85"/>
      <c r="M673" s="85"/>
    </row>
    <row r="674" spans="1:13" x14ac:dyDescent="0.2">
      <c r="A674" t="s">
        <v>356</v>
      </c>
      <c r="B674" t="s">
        <v>1</v>
      </c>
      <c r="C674">
        <v>27</v>
      </c>
      <c r="D674">
        <v>10632.6</v>
      </c>
      <c r="E674">
        <v>1.9</v>
      </c>
      <c r="F674">
        <v>-0.25</v>
      </c>
      <c r="G674">
        <v>0.01</v>
      </c>
      <c r="H674" t="s">
        <v>357</v>
      </c>
      <c r="I674">
        <v>4.0999999999999996</v>
      </c>
      <c r="J674">
        <v>15527</v>
      </c>
      <c r="K674" t="s">
        <v>319</v>
      </c>
      <c r="L674" s="85"/>
      <c r="M674" s="85"/>
    </row>
    <row r="675" spans="1:13" x14ac:dyDescent="0.2">
      <c r="A675" t="s">
        <v>356</v>
      </c>
      <c r="B675" t="s">
        <v>227</v>
      </c>
      <c r="C675">
        <v>53</v>
      </c>
      <c r="D675">
        <v>325.7</v>
      </c>
      <c r="E675">
        <v>2</v>
      </c>
      <c r="F675">
        <v>0</v>
      </c>
      <c r="G675">
        <v>3.0000000000000001E-3</v>
      </c>
      <c r="H675" t="s">
        <v>357</v>
      </c>
      <c r="I675">
        <v>332.9</v>
      </c>
      <c r="J675">
        <v>328</v>
      </c>
      <c r="K675" t="s">
        <v>319</v>
      </c>
      <c r="L675" s="85"/>
      <c r="M675" s="85"/>
    </row>
    <row r="676" spans="1:13" x14ac:dyDescent="0.2">
      <c r="A676" t="s">
        <v>356</v>
      </c>
      <c r="B676" t="s">
        <v>228</v>
      </c>
      <c r="C676">
        <v>55</v>
      </c>
      <c r="D676">
        <v>1288.0999999999999</v>
      </c>
      <c r="E676">
        <v>3.1</v>
      </c>
      <c r="F676">
        <v>-0.02</v>
      </c>
      <c r="G676">
        <v>1E-3</v>
      </c>
      <c r="H676" t="s">
        <v>357</v>
      </c>
      <c r="I676">
        <v>6.4</v>
      </c>
      <c r="J676">
        <v>1912</v>
      </c>
      <c r="K676" t="s">
        <v>319</v>
      </c>
      <c r="L676" s="85"/>
      <c r="M676" s="85"/>
    </row>
    <row r="677" spans="1:13" x14ac:dyDescent="0.2">
      <c r="A677" t="s">
        <v>356</v>
      </c>
      <c r="B677" t="s">
        <v>229</v>
      </c>
      <c r="C677">
        <v>63</v>
      </c>
      <c r="D677">
        <v>687.7</v>
      </c>
      <c r="E677">
        <v>4.9000000000000004</v>
      </c>
      <c r="F677">
        <v>0</v>
      </c>
      <c r="G677">
        <v>2E-3</v>
      </c>
      <c r="H677" t="s">
        <v>357</v>
      </c>
      <c r="I677">
        <v>529</v>
      </c>
      <c r="J677">
        <v>694</v>
      </c>
      <c r="K677" t="s">
        <v>319</v>
      </c>
      <c r="L677" s="85"/>
      <c r="M677" s="85"/>
    </row>
    <row r="678" spans="1:13" x14ac:dyDescent="0.2">
      <c r="A678" t="s">
        <v>356</v>
      </c>
      <c r="B678" t="s">
        <v>230</v>
      </c>
      <c r="C678">
        <v>66</v>
      </c>
      <c r="D678">
        <v>235</v>
      </c>
      <c r="E678">
        <v>9.1999999999999993</v>
      </c>
      <c r="F678">
        <v>-0.01</v>
      </c>
      <c r="G678">
        <v>7.0000000000000001E-3</v>
      </c>
      <c r="H678" t="s">
        <v>357</v>
      </c>
      <c r="I678">
        <v>108.5</v>
      </c>
      <c r="J678">
        <v>255</v>
      </c>
      <c r="K678" t="s">
        <v>319</v>
      </c>
      <c r="L678" s="85"/>
      <c r="M678" s="85"/>
    </row>
    <row r="679" spans="1:13" x14ac:dyDescent="0.2">
      <c r="A679" t="s">
        <v>356</v>
      </c>
      <c r="B679" t="s">
        <v>231</v>
      </c>
      <c r="C679">
        <v>75</v>
      </c>
      <c r="D679">
        <v>26.3</v>
      </c>
      <c r="E679">
        <v>17.5</v>
      </c>
      <c r="F679">
        <v>0</v>
      </c>
      <c r="G679">
        <v>1E-3</v>
      </c>
      <c r="H679" t="s">
        <v>357</v>
      </c>
      <c r="I679">
        <v>51.3</v>
      </c>
      <c r="J679">
        <v>35</v>
      </c>
      <c r="K679" t="s">
        <v>319</v>
      </c>
      <c r="L679" s="85"/>
      <c r="M679" s="85"/>
    </row>
    <row r="680" spans="1:13" x14ac:dyDescent="0.2">
      <c r="A680" t="s">
        <v>356</v>
      </c>
      <c r="B680" t="s">
        <v>232</v>
      </c>
      <c r="C680">
        <v>111</v>
      </c>
      <c r="D680">
        <v>13.3</v>
      </c>
      <c r="E680">
        <v>26.3</v>
      </c>
      <c r="F680">
        <v>0</v>
      </c>
      <c r="G680">
        <v>1E-3</v>
      </c>
      <c r="H680" t="s">
        <v>357</v>
      </c>
      <c r="I680">
        <v>31</v>
      </c>
      <c r="J680">
        <v>25</v>
      </c>
      <c r="K680" t="s">
        <v>319</v>
      </c>
      <c r="L680" s="85"/>
      <c r="M680" s="85"/>
    </row>
    <row r="681" spans="1:13" x14ac:dyDescent="0.2">
      <c r="A681" t="s">
        <v>356</v>
      </c>
      <c r="B681" t="s">
        <v>233</v>
      </c>
      <c r="C681">
        <v>118</v>
      </c>
      <c r="D681">
        <v>114</v>
      </c>
      <c r="E681">
        <v>6.3</v>
      </c>
      <c r="F681">
        <v>-0.01</v>
      </c>
      <c r="G681">
        <v>1E-3</v>
      </c>
      <c r="H681" t="s">
        <v>357</v>
      </c>
      <c r="I681">
        <v>7</v>
      </c>
      <c r="J681">
        <v>217</v>
      </c>
      <c r="K681" t="s">
        <v>319</v>
      </c>
      <c r="L681" s="85"/>
      <c r="M681" s="85"/>
    </row>
    <row r="682" spans="1:13" x14ac:dyDescent="0.2">
      <c r="A682" t="s">
        <v>356</v>
      </c>
      <c r="B682" t="s">
        <v>234</v>
      </c>
      <c r="C682">
        <v>206</v>
      </c>
      <c r="D682">
        <v>403.3</v>
      </c>
      <c r="E682">
        <v>3</v>
      </c>
      <c r="F682">
        <v>-0.01</v>
      </c>
      <c r="G682">
        <v>1E-3</v>
      </c>
      <c r="H682" t="s">
        <v>357</v>
      </c>
      <c r="I682">
        <v>23.9</v>
      </c>
      <c r="J682">
        <v>453</v>
      </c>
      <c r="K682" t="s">
        <v>319</v>
      </c>
      <c r="L682" s="145">
        <v>0.24099999999999999</v>
      </c>
      <c r="M682" s="85">
        <f>F682*L682</f>
        <v>-2.4099999999999998E-3</v>
      </c>
    </row>
    <row r="683" spans="1:13" x14ac:dyDescent="0.2">
      <c r="A683" t="s">
        <v>356</v>
      </c>
      <c r="B683" t="s">
        <v>234</v>
      </c>
      <c r="C683">
        <v>207</v>
      </c>
      <c r="D683">
        <v>383.3</v>
      </c>
      <c r="E683">
        <v>5.3</v>
      </c>
      <c r="F683">
        <v>0</v>
      </c>
      <c r="G683">
        <v>3.0000000000000001E-3</v>
      </c>
      <c r="H683" t="s">
        <v>357</v>
      </c>
      <c r="I683">
        <v>151</v>
      </c>
      <c r="J683">
        <v>397</v>
      </c>
      <c r="K683" t="s">
        <v>319</v>
      </c>
      <c r="L683" s="145">
        <v>0.221</v>
      </c>
      <c r="M683" s="85">
        <f t="shared" ref="M683:M684" si="37">F683*L683</f>
        <v>0</v>
      </c>
    </row>
    <row r="684" spans="1:13" x14ac:dyDescent="0.2">
      <c r="A684" t="s">
        <v>356</v>
      </c>
      <c r="B684" t="s">
        <v>234</v>
      </c>
      <c r="C684">
        <v>208</v>
      </c>
      <c r="D684">
        <v>944</v>
      </c>
      <c r="E684">
        <v>2.1</v>
      </c>
      <c r="F684">
        <v>0</v>
      </c>
      <c r="G684">
        <v>1E-3</v>
      </c>
      <c r="H684" t="s">
        <v>357</v>
      </c>
      <c r="I684">
        <v>23.8</v>
      </c>
      <c r="J684">
        <v>1028</v>
      </c>
      <c r="K684" t="s">
        <v>319</v>
      </c>
      <c r="L684" s="145">
        <v>0.52400000000000002</v>
      </c>
      <c r="M684" s="85">
        <f t="shared" si="37"/>
        <v>0</v>
      </c>
    </row>
    <row r="685" spans="1:13" x14ac:dyDescent="0.2">
      <c r="A685" t="s">
        <v>338</v>
      </c>
      <c r="L685" s="85"/>
      <c r="M685" s="85"/>
    </row>
    <row r="686" spans="1:13" x14ac:dyDescent="0.2">
      <c r="A686" t="s">
        <v>339</v>
      </c>
      <c r="B686" t="s">
        <v>248</v>
      </c>
      <c r="L686" s="85"/>
      <c r="M686" s="85"/>
    </row>
    <row r="687" spans="1:13" x14ac:dyDescent="0.2">
      <c r="A687" t="s">
        <v>341</v>
      </c>
      <c r="B687" t="s">
        <v>342</v>
      </c>
      <c r="C687" t="s">
        <v>343</v>
      </c>
      <c r="D687" t="s">
        <v>402</v>
      </c>
      <c r="L687" s="85"/>
      <c r="M687" s="85"/>
    </row>
    <row r="688" spans="1:13" x14ac:dyDescent="0.2">
      <c r="A688" t="s">
        <v>345</v>
      </c>
      <c r="L688" s="85"/>
      <c r="M688" s="85"/>
    </row>
    <row r="689" spans="1:13" x14ac:dyDescent="0.2">
      <c r="A689" t="s">
        <v>346</v>
      </c>
      <c r="L689" s="85"/>
      <c r="M689" s="85"/>
    </row>
    <row r="690" spans="1:13" x14ac:dyDescent="0.2">
      <c r="A690" t="s">
        <v>347</v>
      </c>
      <c r="B690" t="s">
        <v>348</v>
      </c>
      <c r="C690" t="s">
        <v>349</v>
      </c>
      <c r="D690" t="s">
        <v>350</v>
      </c>
      <c r="E690" t="s">
        <v>351</v>
      </c>
      <c r="F690" t="s">
        <v>352</v>
      </c>
      <c r="G690" t="s">
        <v>353</v>
      </c>
      <c r="H690" t="s">
        <v>314</v>
      </c>
      <c r="I690" t="s">
        <v>351</v>
      </c>
      <c r="J690" t="s">
        <v>354</v>
      </c>
      <c r="K690" t="s">
        <v>355</v>
      </c>
      <c r="L690" s="85" t="s">
        <v>423</v>
      </c>
      <c r="M690" s="85" t="s">
        <v>424</v>
      </c>
    </row>
    <row r="691" spans="1:13" x14ac:dyDescent="0.2">
      <c r="A691" t="s">
        <v>356</v>
      </c>
      <c r="B691" t="s">
        <v>2</v>
      </c>
      <c r="C691">
        <v>57</v>
      </c>
      <c r="D691">
        <v>42621.8</v>
      </c>
      <c r="E691">
        <v>2.1</v>
      </c>
      <c r="F691">
        <v>0.28000000000000003</v>
      </c>
      <c r="G691">
        <v>1.2090000000000001</v>
      </c>
      <c r="H691" t="s">
        <v>357</v>
      </c>
      <c r="I691">
        <v>424.5</v>
      </c>
      <c r="J691">
        <v>42416</v>
      </c>
      <c r="K691" t="s">
        <v>319</v>
      </c>
      <c r="L691" s="85"/>
      <c r="M691" s="85"/>
    </row>
    <row r="692" spans="1:13" x14ac:dyDescent="0.2">
      <c r="A692" t="s">
        <v>356</v>
      </c>
      <c r="B692" t="s">
        <v>1</v>
      </c>
      <c r="C692">
        <v>27</v>
      </c>
      <c r="D692">
        <v>10623.3</v>
      </c>
      <c r="E692">
        <v>3.5</v>
      </c>
      <c r="F692">
        <v>-0.25</v>
      </c>
      <c r="G692">
        <v>1.9E-2</v>
      </c>
      <c r="H692" t="s">
        <v>357</v>
      </c>
      <c r="I692">
        <v>7.6</v>
      </c>
      <c r="J692">
        <v>15527</v>
      </c>
      <c r="K692" t="s">
        <v>319</v>
      </c>
      <c r="L692" s="85"/>
      <c r="M692" s="85"/>
    </row>
    <row r="693" spans="1:13" x14ac:dyDescent="0.2">
      <c r="A693" t="s">
        <v>356</v>
      </c>
      <c r="B693" t="s">
        <v>227</v>
      </c>
      <c r="C693">
        <v>53</v>
      </c>
      <c r="D693">
        <v>334</v>
      </c>
      <c r="E693">
        <v>5.8</v>
      </c>
      <c r="F693">
        <v>0</v>
      </c>
      <c r="G693">
        <v>7.0000000000000001E-3</v>
      </c>
      <c r="H693" t="s">
        <v>357</v>
      </c>
      <c r="I693">
        <v>307.39999999999998</v>
      </c>
      <c r="J693">
        <v>328</v>
      </c>
      <c r="K693" t="s">
        <v>319</v>
      </c>
      <c r="L693" s="85"/>
      <c r="M693" s="85"/>
    </row>
    <row r="694" spans="1:13" x14ac:dyDescent="0.2">
      <c r="A694" t="s">
        <v>356</v>
      </c>
      <c r="B694" t="s">
        <v>228</v>
      </c>
      <c r="C694">
        <v>55</v>
      </c>
      <c r="D694">
        <v>1290.4000000000001</v>
      </c>
      <c r="E694">
        <v>4.9000000000000004</v>
      </c>
      <c r="F694">
        <v>-0.02</v>
      </c>
      <c r="G694">
        <v>2E-3</v>
      </c>
      <c r="H694" t="s">
        <v>357</v>
      </c>
      <c r="I694">
        <v>10.199999999999999</v>
      </c>
      <c r="J694">
        <v>1912</v>
      </c>
      <c r="K694" t="s">
        <v>319</v>
      </c>
      <c r="L694" s="85"/>
      <c r="M694" s="85"/>
    </row>
    <row r="695" spans="1:13" x14ac:dyDescent="0.2">
      <c r="A695" t="s">
        <v>356</v>
      </c>
      <c r="B695" t="s">
        <v>229</v>
      </c>
      <c r="C695">
        <v>63</v>
      </c>
      <c r="D695">
        <v>745.7</v>
      </c>
      <c r="E695">
        <v>4.8</v>
      </c>
      <c r="F695">
        <v>0</v>
      </c>
      <c r="G695">
        <v>3.0000000000000001E-3</v>
      </c>
      <c r="H695" t="s">
        <v>357</v>
      </c>
      <c r="I695">
        <v>68.8</v>
      </c>
      <c r="J695">
        <v>694</v>
      </c>
      <c r="K695" t="s">
        <v>319</v>
      </c>
      <c r="L695" s="85"/>
      <c r="M695" s="85"/>
    </row>
    <row r="696" spans="1:13" x14ac:dyDescent="0.2">
      <c r="A696" t="s">
        <v>356</v>
      </c>
      <c r="B696" t="s">
        <v>230</v>
      </c>
      <c r="C696">
        <v>66</v>
      </c>
      <c r="D696">
        <v>250.7</v>
      </c>
      <c r="E696">
        <v>8</v>
      </c>
      <c r="F696">
        <v>0</v>
      </c>
      <c r="G696">
        <v>6.0000000000000001E-3</v>
      </c>
      <c r="H696" t="s">
        <v>357</v>
      </c>
      <c r="I696">
        <v>462.3</v>
      </c>
      <c r="J696">
        <v>255</v>
      </c>
      <c r="K696" t="s">
        <v>319</v>
      </c>
      <c r="L696" s="85"/>
      <c r="M696" s="85"/>
    </row>
    <row r="697" spans="1:13" x14ac:dyDescent="0.2">
      <c r="A697" t="s">
        <v>356</v>
      </c>
      <c r="B697" t="s">
        <v>231</v>
      </c>
      <c r="C697">
        <v>75</v>
      </c>
      <c r="D697">
        <v>24.7</v>
      </c>
      <c r="E697">
        <v>9.4</v>
      </c>
      <c r="F697">
        <v>0</v>
      </c>
      <c r="G697">
        <v>1E-3</v>
      </c>
      <c r="H697" t="s">
        <v>357</v>
      </c>
      <c r="I697">
        <v>21.7</v>
      </c>
      <c r="J697">
        <v>35</v>
      </c>
      <c r="K697" t="s">
        <v>319</v>
      </c>
      <c r="L697" s="85"/>
      <c r="M697" s="85"/>
    </row>
    <row r="698" spans="1:13" x14ac:dyDescent="0.2">
      <c r="A698" t="s">
        <v>356</v>
      </c>
      <c r="B698" t="s">
        <v>232</v>
      </c>
      <c r="C698">
        <v>111</v>
      </c>
      <c r="D698">
        <v>10.3</v>
      </c>
      <c r="E698">
        <v>14.8</v>
      </c>
      <c r="F698">
        <v>0</v>
      </c>
      <c r="G698">
        <v>0</v>
      </c>
      <c r="H698" t="s">
        <v>357</v>
      </c>
      <c r="I698">
        <v>10.7</v>
      </c>
      <c r="J698">
        <v>25</v>
      </c>
      <c r="K698" t="s">
        <v>319</v>
      </c>
      <c r="L698" s="85"/>
      <c r="M698" s="85"/>
    </row>
    <row r="699" spans="1:13" x14ac:dyDescent="0.2">
      <c r="A699" t="s">
        <v>356</v>
      </c>
      <c r="B699" t="s">
        <v>233</v>
      </c>
      <c r="C699">
        <v>118</v>
      </c>
      <c r="D699">
        <v>114</v>
      </c>
      <c r="E699">
        <v>5.5</v>
      </c>
      <c r="F699">
        <v>-0.01</v>
      </c>
      <c r="G699">
        <v>1E-3</v>
      </c>
      <c r="H699" t="s">
        <v>357</v>
      </c>
      <c r="I699">
        <v>6.1</v>
      </c>
      <c r="J699">
        <v>217</v>
      </c>
      <c r="K699" t="s">
        <v>319</v>
      </c>
      <c r="L699" s="85"/>
      <c r="M699" s="85"/>
    </row>
    <row r="700" spans="1:13" x14ac:dyDescent="0.2">
      <c r="A700" t="s">
        <v>356</v>
      </c>
      <c r="B700" t="s">
        <v>234</v>
      </c>
      <c r="C700">
        <v>206</v>
      </c>
      <c r="D700">
        <v>433.7</v>
      </c>
      <c r="E700">
        <v>5.5</v>
      </c>
      <c r="F700">
        <v>0</v>
      </c>
      <c r="G700">
        <v>3.0000000000000001E-3</v>
      </c>
      <c r="H700" t="s">
        <v>357</v>
      </c>
      <c r="I700">
        <v>122.1</v>
      </c>
      <c r="J700">
        <v>453</v>
      </c>
      <c r="K700" t="s">
        <v>319</v>
      </c>
      <c r="L700" s="145">
        <v>0.24099999999999999</v>
      </c>
      <c r="M700" s="85">
        <f>F700*L700</f>
        <v>0</v>
      </c>
    </row>
    <row r="701" spans="1:13" x14ac:dyDescent="0.2">
      <c r="A701" t="s">
        <v>356</v>
      </c>
      <c r="B701" t="s">
        <v>234</v>
      </c>
      <c r="C701">
        <v>207</v>
      </c>
      <c r="D701">
        <v>367</v>
      </c>
      <c r="E701">
        <v>6.6</v>
      </c>
      <c r="F701">
        <v>0</v>
      </c>
      <c r="G701">
        <v>3.0000000000000001E-3</v>
      </c>
      <c r="H701" t="s">
        <v>357</v>
      </c>
      <c r="I701">
        <v>81.7</v>
      </c>
      <c r="J701">
        <v>397</v>
      </c>
      <c r="K701" t="s">
        <v>319</v>
      </c>
      <c r="L701" s="145">
        <v>0.221</v>
      </c>
      <c r="M701" s="85">
        <f t="shared" ref="M701:M702" si="38">F701*L701</f>
        <v>0</v>
      </c>
    </row>
    <row r="702" spans="1:13" x14ac:dyDescent="0.2">
      <c r="A702" t="s">
        <v>356</v>
      </c>
      <c r="B702" t="s">
        <v>234</v>
      </c>
      <c r="C702">
        <v>208</v>
      </c>
      <c r="D702">
        <v>916.7</v>
      </c>
      <c r="E702">
        <v>5.9</v>
      </c>
      <c r="F702">
        <v>-0.01</v>
      </c>
      <c r="G702">
        <v>3.0000000000000001E-3</v>
      </c>
      <c r="H702" t="s">
        <v>357</v>
      </c>
      <c r="I702">
        <v>48.5</v>
      </c>
      <c r="J702">
        <v>1028</v>
      </c>
      <c r="K702" t="s">
        <v>319</v>
      </c>
      <c r="L702" s="145">
        <v>0.52400000000000002</v>
      </c>
      <c r="M702" s="85">
        <f t="shared" si="38"/>
        <v>-5.2400000000000007E-3</v>
      </c>
    </row>
    <row r="703" spans="1:13" x14ac:dyDescent="0.2">
      <c r="A703" t="s">
        <v>338</v>
      </c>
      <c r="L703" s="85"/>
      <c r="M703" s="85"/>
    </row>
    <row r="704" spans="1:13" x14ac:dyDescent="0.2">
      <c r="A704" t="s">
        <v>339</v>
      </c>
      <c r="B704" t="s">
        <v>249</v>
      </c>
      <c r="L704" s="85"/>
      <c r="M704" s="85"/>
    </row>
    <row r="705" spans="1:13" x14ac:dyDescent="0.2">
      <c r="A705" t="s">
        <v>341</v>
      </c>
      <c r="B705" t="s">
        <v>342</v>
      </c>
      <c r="C705" t="s">
        <v>343</v>
      </c>
      <c r="D705" t="s">
        <v>403</v>
      </c>
      <c r="L705" s="85"/>
      <c r="M705" s="85"/>
    </row>
    <row r="706" spans="1:13" x14ac:dyDescent="0.2">
      <c r="A706" t="s">
        <v>345</v>
      </c>
      <c r="L706" s="85"/>
      <c r="M706" s="85"/>
    </row>
    <row r="707" spans="1:13" x14ac:dyDescent="0.2">
      <c r="A707" t="s">
        <v>346</v>
      </c>
      <c r="L707" s="85"/>
      <c r="M707" s="85"/>
    </row>
    <row r="708" spans="1:13" x14ac:dyDescent="0.2">
      <c r="A708" t="s">
        <v>347</v>
      </c>
      <c r="B708" t="s">
        <v>348</v>
      </c>
      <c r="C708" t="s">
        <v>349</v>
      </c>
      <c r="D708" t="s">
        <v>350</v>
      </c>
      <c r="E708" t="s">
        <v>351</v>
      </c>
      <c r="F708" t="s">
        <v>352</v>
      </c>
      <c r="G708" t="s">
        <v>353</v>
      </c>
      <c r="H708" t="s">
        <v>314</v>
      </c>
      <c r="I708" t="s">
        <v>351</v>
      </c>
      <c r="J708" t="s">
        <v>354</v>
      </c>
      <c r="K708" t="s">
        <v>355</v>
      </c>
      <c r="L708" s="85" t="s">
        <v>423</v>
      </c>
      <c r="M708" s="85" t="s">
        <v>424</v>
      </c>
    </row>
    <row r="709" spans="1:13" x14ac:dyDescent="0.2">
      <c r="A709" t="s">
        <v>356</v>
      </c>
      <c r="B709" t="s">
        <v>2</v>
      </c>
      <c r="C709">
        <v>57</v>
      </c>
      <c r="D709">
        <v>42823.4</v>
      </c>
      <c r="E709">
        <v>1.1000000000000001</v>
      </c>
      <c r="F709">
        <v>0.56000000000000005</v>
      </c>
      <c r="G709">
        <v>0.626</v>
      </c>
      <c r="H709" t="s">
        <v>357</v>
      </c>
      <c r="I709">
        <v>111.2</v>
      </c>
      <c r="J709">
        <v>42416</v>
      </c>
      <c r="K709" t="s">
        <v>319</v>
      </c>
      <c r="L709" s="85"/>
      <c r="M709" s="85"/>
    </row>
    <row r="710" spans="1:13" x14ac:dyDescent="0.2">
      <c r="A710" t="s">
        <v>356</v>
      </c>
      <c r="B710" t="s">
        <v>1</v>
      </c>
      <c r="C710">
        <v>27</v>
      </c>
      <c r="D710">
        <v>10467.5</v>
      </c>
      <c r="E710">
        <v>0.6</v>
      </c>
      <c r="F710">
        <v>-0.26</v>
      </c>
      <c r="G710">
        <v>3.0000000000000001E-3</v>
      </c>
      <c r="H710" t="s">
        <v>357</v>
      </c>
      <c r="I710">
        <v>1.3</v>
      </c>
      <c r="J710">
        <v>15527</v>
      </c>
      <c r="K710" t="s">
        <v>319</v>
      </c>
      <c r="L710" s="85"/>
      <c r="M710" s="85"/>
    </row>
    <row r="711" spans="1:13" x14ac:dyDescent="0.2">
      <c r="A711" t="s">
        <v>356</v>
      </c>
      <c r="B711" t="s">
        <v>227</v>
      </c>
      <c r="C711">
        <v>53</v>
      </c>
      <c r="D711">
        <v>292</v>
      </c>
      <c r="E711">
        <v>5.2</v>
      </c>
      <c r="F711">
        <v>-0.01</v>
      </c>
      <c r="G711">
        <v>6.0000000000000001E-3</v>
      </c>
      <c r="H711" t="s">
        <v>357</v>
      </c>
      <c r="I711">
        <v>42.4</v>
      </c>
      <c r="J711">
        <v>328</v>
      </c>
      <c r="K711" t="s">
        <v>319</v>
      </c>
      <c r="L711" s="85"/>
      <c r="M711" s="85"/>
    </row>
    <row r="712" spans="1:13" x14ac:dyDescent="0.2">
      <c r="A712" t="s">
        <v>356</v>
      </c>
      <c r="B712" t="s">
        <v>228</v>
      </c>
      <c r="C712">
        <v>55</v>
      </c>
      <c r="D712">
        <v>1148</v>
      </c>
      <c r="E712">
        <v>2.1</v>
      </c>
      <c r="F712">
        <v>-0.02</v>
      </c>
      <c r="G712">
        <v>1E-3</v>
      </c>
      <c r="H712" t="s">
        <v>357</v>
      </c>
      <c r="I712">
        <v>3.2</v>
      </c>
      <c r="J712">
        <v>1912</v>
      </c>
      <c r="K712" t="s">
        <v>319</v>
      </c>
      <c r="L712" s="85"/>
      <c r="M712" s="85"/>
    </row>
    <row r="713" spans="1:13" x14ac:dyDescent="0.2">
      <c r="A713" t="s">
        <v>356</v>
      </c>
      <c r="B713" t="s">
        <v>229</v>
      </c>
      <c r="C713">
        <v>63</v>
      </c>
      <c r="D713">
        <v>872.7</v>
      </c>
      <c r="E713">
        <v>4.5999999999999996</v>
      </c>
      <c r="F713">
        <v>0.01</v>
      </c>
      <c r="G713">
        <v>3.0000000000000001E-3</v>
      </c>
      <c r="H713" t="s">
        <v>357</v>
      </c>
      <c r="I713">
        <v>22.3</v>
      </c>
      <c r="J713">
        <v>694</v>
      </c>
      <c r="K713" t="s">
        <v>319</v>
      </c>
      <c r="L713" s="85"/>
      <c r="M713" s="85"/>
    </row>
    <row r="714" spans="1:13" x14ac:dyDescent="0.2">
      <c r="A714" t="s">
        <v>356</v>
      </c>
      <c r="B714" t="s">
        <v>230</v>
      </c>
      <c r="C714">
        <v>66</v>
      </c>
      <c r="D714">
        <v>243</v>
      </c>
      <c r="E714">
        <v>5</v>
      </c>
      <c r="F714">
        <v>0</v>
      </c>
      <c r="G714">
        <v>4.0000000000000001E-3</v>
      </c>
      <c r="H714" t="s">
        <v>357</v>
      </c>
      <c r="I714">
        <v>101.4</v>
      </c>
      <c r="J714">
        <v>255</v>
      </c>
      <c r="K714" t="s">
        <v>319</v>
      </c>
      <c r="L714" s="85"/>
      <c r="M714" s="85"/>
    </row>
    <row r="715" spans="1:13" x14ac:dyDescent="0.2">
      <c r="A715" t="s">
        <v>356</v>
      </c>
      <c r="B715" t="s">
        <v>231</v>
      </c>
      <c r="C715">
        <v>75</v>
      </c>
      <c r="D715">
        <v>18.7</v>
      </c>
      <c r="E715">
        <v>13.5</v>
      </c>
      <c r="F715">
        <v>-0.01</v>
      </c>
      <c r="G715">
        <v>1E-3</v>
      </c>
      <c r="H715" t="s">
        <v>357</v>
      </c>
      <c r="I715">
        <v>15.1</v>
      </c>
      <c r="J715">
        <v>35</v>
      </c>
      <c r="K715" t="s">
        <v>319</v>
      </c>
      <c r="L715" s="85"/>
      <c r="M715" s="85"/>
    </row>
    <row r="716" spans="1:13" x14ac:dyDescent="0.2">
      <c r="A716" t="s">
        <v>356</v>
      </c>
      <c r="B716" t="s">
        <v>232</v>
      </c>
      <c r="C716">
        <v>111</v>
      </c>
      <c r="D716">
        <v>11</v>
      </c>
      <c r="E716">
        <v>15.7</v>
      </c>
      <c r="F716">
        <v>0</v>
      </c>
      <c r="G716">
        <v>0</v>
      </c>
      <c r="H716" t="s">
        <v>357</v>
      </c>
      <c r="I716">
        <v>12.7</v>
      </c>
      <c r="J716">
        <v>25</v>
      </c>
      <c r="K716" t="s">
        <v>319</v>
      </c>
      <c r="L716" s="85"/>
      <c r="M716" s="85"/>
    </row>
    <row r="717" spans="1:13" x14ac:dyDescent="0.2">
      <c r="A717" t="s">
        <v>356</v>
      </c>
      <c r="B717" t="s">
        <v>233</v>
      </c>
      <c r="C717">
        <v>118</v>
      </c>
      <c r="D717">
        <v>116.3</v>
      </c>
      <c r="E717">
        <v>10</v>
      </c>
      <c r="F717">
        <v>-0.01</v>
      </c>
      <c r="G717">
        <v>1E-3</v>
      </c>
      <c r="H717" t="s">
        <v>357</v>
      </c>
      <c r="I717">
        <v>11.6</v>
      </c>
      <c r="J717">
        <v>217</v>
      </c>
      <c r="K717" t="s">
        <v>319</v>
      </c>
      <c r="L717" s="85"/>
      <c r="M717" s="85"/>
    </row>
    <row r="718" spans="1:13" x14ac:dyDescent="0.2">
      <c r="A718" t="s">
        <v>356</v>
      </c>
      <c r="B718" t="s">
        <v>234</v>
      </c>
      <c r="C718">
        <v>206</v>
      </c>
      <c r="D718">
        <v>425</v>
      </c>
      <c r="E718">
        <v>8.6</v>
      </c>
      <c r="F718">
        <v>0</v>
      </c>
      <c r="G718">
        <v>4.0000000000000001E-3</v>
      </c>
      <c r="H718" t="s">
        <v>357</v>
      </c>
      <c r="I718">
        <v>128.4</v>
      </c>
      <c r="J718">
        <v>453</v>
      </c>
      <c r="K718" t="s">
        <v>319</v>
      </c>
      <c r="L718" s="145">
        <v>0.24099999999999999</v>
      </c>
      <c r="M718" s="85">
        <f>F718*L718</f>
        <v>0</v>
      </c>
    </row>
    <row r="719" spans="1:13" x14ac:dyDescent="0.2">
      <c r="A719" t="s">
        <v>356</v>
      </c>
      <c r="B719" t="s">
        <v>234</v>
      </c>
      <c r="C719">
        <v>207</v>
      </c>
      <c r="D719">
        <v>400</v>
      </c>
      <c r="E719">
        <v>4.5999999999999996</v>
      </c>
      <c r="F719">
        <v>0</v>
      </c>
      <c r="G719">
        <v>3.0000000000000001E-3</v>
      </c>
      <c r="H719" t="s">
        <v>357</v>
      </c>
      <c r="I719">
        <v>555.6</v>
      </c>
      <c r="J719">
        <v>397</v>
      </c>
      <c r="K719" t="s">
        <v>319</v>
      </c>
      <c r="L719" s="145">
        <v>0.221</v>
      </c>
      <c r="M719" s="85">
        <f t="shared" ref="M719:M720" si="39">F719*L719</f>
        <v>0</v>
      </c>
    </row>
    <row r="720" spans="1:13" x14ac:dyDescent="0.2">
      <c r="A720" t="s">
        <v>356</v>
      </c>
      <c r="B720" t="s">
        <v>234</v>
      </c>
      <c r="C720">
        <v>208</v>
      </c>
      <c r="D720">
        <v>935.7</v>
      </c>
      <c r="E720">
        <v>1.6</v>
      </c>
      <c r="F720">
        <v>0</v>
      </c>
      <c r="G720">
        <v>1E-3</v>
      </c>
      <c r="H720" t="s">
        <v>357</v>
      </c>
      <c r="I720">
        <v>15.9</v>
      </c>
      <c r="J720">
        <v>1028</v>
      </c>
      <c r="K720" t="s">
        <v>319</v>
      </c>
      <c r="L720" s="145">
        <v>0.52400000000000002</v>
      </c>
      <c r="M720" s="85">
        <f t="shared" si="39"/>
        <v>0</v>
      </c>
    </row>
    <row r="721" spans="1:13" x14ac:dyDescent="0.2">
      <c r="A721" t="s">
        <v>338</v>
      </c>
      <c r="L721" s="85"/>
      <c r="M721" s="85"/>
    </row>
    <row r="722" spans="1:13" x14ac:dyDescent="0.2">
      <c r="A722" t="s">
        <v>339</v>
      </c>
      <c r="B722" t="s">
        <v>250</v>
      </c>
      <c r="L722" s="85"/>
      <c r="M722" s="85"/>
    </row>
    <row r="723" spans="1:13" x14ac:dyDescent="0.2">
      <c r="A723" t="s">
        <v>341</v>
      </c>
      <c r="B723" t="s">
        <v>342</v>
      </c>
      <c r="C723" t="s">
        <v>343</v>
      </c>
      <c r="D723" t="s">
        <v>404</v>
      </c>
      <c r="L723" s="85"/>
      <c r="M723" s="85"/>
    </row>
    <row r="724" spans="1:13" x14ac:dyDescent="0.2">
      <c r="A724" t="s">
        <v>345</v>
      </c>
      <c r="L724" s="85"/>
      <c r="M724" s="85"/>
    </row>
    <row r="725" spans="1:13" x14ac:dyDescent="0.2">
      <c r="A725" t="s">
        <v>346</v>
      </c>
      <c r="L725" s="85"/>
      <c r="M725" s="85"/>
    </row>
    <row r="726" spans="1:13" x14ac:dyDescent="0.2">
      <c r="A726" t="s">
        <v>347</v>
      </c>
      <c r="B726" t="s">
        <v>348</v>
      </c>
      <c r="C726" t="s">
        <v>349</v>
      </c>
      <c r="D726" t="s">
        <v>350</v>
      </c>
      <c r="E726" t="s">
        <v>351</v>
      </c>
      <c r="F726" t="s">
        <v>352</v>
      </c>
      <c r="G726" t="s">
        <v>353</v>
      </c>
      <c r="H726" t="s">
        <v>314</v>
      </c>
      <c r="I726" t="s">
        <v>351</v>
      </c>
      <c r="J726" t="s">
        <v>354</v>
      </c>
      <c r="K726" t="s">
        <v>355</v>
      </c>
      <c r="L726" s="85" t="s">
        <v>423</v>
      </c>
      <c r="M726" s="85" t="s">
        <v>424</v>
      </c>
    </row>
    <row r="727" spans="1:13" x14ac:dyDescent="0.2">
      <c r="A727" t="s">
        <v>356</v>
      </c>
      <c r="B727" t="s">
        <v>2</v>
      </c>
      <c r="C727">
        <v>57</v>
      </c>
      <c r="D727">
        <v>43074.8</v>
      </c>
      <c r="E727">
        <v>0.5</v>
      </c>
      <c r="F727">
        <v>0.91</v>
      </c>
      <c r="G727">
        <v>0.32400000000000001</v>
      </c>
      <c r="H727" t="s">
        <v>357</v>
      </c>
      <c r="I727">
        <v>35.6</v>
      </c>
      <c r="J727">
        <v>42416</v>
      </c>
      <c r="K727" t="s">
        <v>319</v>
      </c>
      <c r="L727" s="85"/>
      <c r="M727" s="85"/>
    </row>
    <row r="728" spans="1:13" x14ac:dyDescent="0.2">
      <c r="A728" t="s">
        <v>356</v>
      </c>
      <c r="B728" t="s">
        <v>1</v>
      </c>
      <c r="C728">
        <v>27</v>
      </c>
      <c r="D728">
        <v>12209.2</v>
      </c>
      <c r="E728">
        <v>10</v>
      </c>
      <c r="F728">
        <v>-0.17</v>
      </c>
      <c r="G728">
        <v>6.3E-2</v>
      </c>
      <c r="H728" t="s">
        <v>357</v>
      </c>
      <c r="I728">
        <v>36.799999999999997</v>
      </c>
      <c r="J728">
        <v>15527</v>
      </c>
      <c r="K728" t="s">
        <v>319</v>
      </c>
      <c r="L728" s="85"/>
      <c r="M728" s="85"/>
    </row>
    <row r="729" spans="1:13" x14ac:dyDescent="0.2">
      <c r="A729" t="s">
        <v>356</v>
      </c>
      <c r="B729" t="s">
        <v>227</v>
      </c>
      <c r="C729">
        <v>53</v>
      </c>
      <c r="D729">
        <v>316</v>
      </c>
      <c r="E729">
        <v>4.2</v>
      </c>
      <c r="F729">
        <v>0</v>
      </c>
      <c r="G729">
        <v>5.0000000000000001E-3</v>
      </c>
      <c r="H729" t="s">
        <v>357</v>
      </c>
      <c r="I729">
        <v>113.4</v>
      </c>
      <c r="J729">
        <v>328</v>
      </c>
      <c r="K729" t="s">
        <v>319</v>
      </c>
      <c r="L729" s="85"/>
      <c r="M729" s="85"/>
    </row>
    <row r="730" spans="1:13" x14ac:dyDescent="0.2">
      <c r="A730" t="s">
        <v>356</v>
      </c>
      <c r="B730" t="s">
        <v>228</v>
      </c>
      <c r="C730">
        <v>55</v>
      </c>
      <c r="D730">
        <v>1109.4000000000001</v>
      </c>
      <c r="E730">
        <v>3.7</v>
      </c>
      <c r="F730">
        <v>-0.02</v>
      </c>
      <c r="G730">
        <v>1E-3</v>
      </c>
      <c r="H730" t="s">
        <v>357</v>
      </c>
      <c r="I730">
        <v>5.0999999999999996</v>
      </c>
      <c r="J730">
        <v>1912</v>
      </c>
      <c r="K730" t="s">
        <v>319</v>
      </c>
      <c r="L730" s="85"/>
      <c r="M730" s="85"/>
    </row>
    <row r="731" spans="1:13" x14ac:dyDescent="0.2">
      <c r="A731" t="s">
        <v>356</v>
      </c>
      <c r="B731" t="s">
        <v>229</v>
      </c>
      <c r="C731">
        <v>63</v>
      </c>
      <c r="D731">
        <v>809.4</v>
      </c>
      <c r="E731">
        <v>2.7</v>
      </c>
      <c r="F731">
        <v>0.01</v>
      </c>
      <c r="G731">
        <v>2E-3</v>
      </c>
      <c r="H731" t="s">
        <v>357</v>
      </c>
      <c r="I731">
        <v>19</v>
      </c>
      <c r="J731">
        <v>694</v>
      </c>
      <c r="K731" t="s">
        <v>319</v>
      </c>
      <c r="L731" s="85"/>
      <c r="M731" s="85"/>
    </row>
    <row r="732" spans="1:13" x14ac:dyDescent="0.2">
      <c r="A732" t="s">
        <v>356</v>
      </c>
      <c r="B732" t="s">
        <v>230</v>
      </c>
      <c r="C732">
        <v>66</v>
      </c>
      <c r="D732">
        <v>275.3</v>
      </c>
      <c r="E732">
        <v>2.2000000000000002</v>
      </c>
      <c r="F732">
        <v>0.01</v>
      </c>
      <c r="G732">
        <v>2E-3</v>
      </c>
      <c r="H732" t="s">
        <v>357</v>
      </c>
      <c r="I732">
        <v>29.6</v>
      </c>
      <c r="J732">
        <v>255</v>
      </c>
      <c r="K732" t="s">
        <v>319</v>
      </c>
      <c r="L732" s="85"/>
      <c r="M732" s="85"/>
    </row>
    <row r="733" spans="1:13" x14ac:dyDescent="0.2">
      <c r="A733" t="s">
        <v>356</v>
      </c>
      <c r="B733" t="s">
        <v>231</v>
      </c>
      <c r="C733">
        <v>75</v>
      </c>
      <c r="D733">
        <v>17.7</v>
      </c>
      <c r="E733">
        <v>19.899999999999999</v>
      </c>
      <c r="F733">
        <v>-0.01</v>
      </c>
      <c r="G733">
        <v>1E-3</v>
      </c>
      <c r="H733" t="s">
        <v>357</v>
      </c>
      <c r="I733">
        <v>19.899999999999999</v>
      </c>
      <c r="J733">
        <v>35</v>
      </c>
      <c r="K733" t="s">
        <v>319</v>
      </c>
      <c r="L733" s="85"/>
      <c r="M733" s="85"/>
    </row>
    <row r="734" spans="1:13" x14ac:dyDescent="0.2">
      <c r="A734" t="s">
        <v>356</v>
      </c>
      <c r="B734" t="s">
        <v>232</v>
      </c>
      <c r="C734">
        <v>111</v>
      </c>
      <c r="D734">
        <v>9.6999999999999993</v>
      </c>
      <c r="E734">
        <v>26</v>
      </c>
      <c r="F734">
        <v>0</v>
      </c>
      <c r="G734">
        <v>1E-3</v>
      </c>
      <c r="H734" t="s">
        <v>357</v>
      </c>
      <c r="I734">
        <v>16.8</v>
      </c>
      <c r="J734">
        <v>25</v>
      </c>
      <c r="K734" t="s">
        <v>319</v>
      </c>
      <c r="L734" s="85"/>
      <c r="M734" s="85"/>
    </row>
    <row r="735" spans="1:13" x14ac:dyDescent="0.2">
      <c r="A735" t="s">
        <v>356</v>
      </c>
      <c r="B735" t="s">
        <v>233</v>
      </c>
      <c r="C735">
        <v>118</v>
      </c>
      <c r="D735">
        <v>112.3</v>
      </c>
      <c r="E735">
        <v>6.3</v>
      </c>
      <c r="F735">
        <v>-0.01</v>
      </c>
      <c r="G735">
        <v>1E-3</v>
      </c>
      <c r="H735" t="s">
        <v>357</v>
      </c>
      <c r="I735">
        <v>6.8</v>
      </c>
      <c r="J735">
        <v>217</v>
      </c>
      <c r="K735" t="s">
        <v>319</v>
      </c>
      <c r="L735" s="85"/>
      <c r="M735" s="85"/>
    </row>
    <row r="736" spans="1:13" x14ac:dyDescent="0.2">
      <c r="A736" t="s">
        <v>356</v>
      </c>
      <c r="B736" t="s">
        <v>234</v>
      </c>
      <c r="C736">
        <v>206</v>
      </c>
      <c r="D736">
        <v>450.7</v>
      </c>
      <c r="E736">
        <v>5.7</v>
      </c>
      <c r="F736">
        <v>0</v>
      </c>
      <c r="G736">
        <v>3.0000000000000001E-3</v>
      </c>
      <c r="H736" t="s">
        <v>357</v>
      </c>
      <c r="I736">
        <v>957.8</v>
      </c>
      <c r="J736">
        <v>453</v>
      </c>
      <c r="K736" t="s">
        <v>319</v>
      </c>
      <c r="L736" s="145">
        <v>0.24099999999999999</v>
      </c>
      <c r="M736" s="85">
        <f>F736*L736</f>
        <v>0</v>
      </c>
    </row>
    <row r="737" spans="1:13" x14ac:dyDescent="0.2">
      <c r="A737" t="s">
        <v>356</v>
      </c>
      <c r="B737" t="s">
        <v>234</v>
      </c>
      <c r="C737">
        <v>207</v>
      </c>
      <c r="D737">
        <v>370.3</v>
      </c>
      <c r="E737">
        <v>9.5</v>
      </c>
      <c r="F737">
        <v>0</v>
      </c>
      <c r="G737">
        <v>5.0000000000000001E-3</v>
      </c>
      <c r="H737" t="s">
        <v>357</v>
      </c>
      <c r="I737">
        <v>134.30000000000001</v>
      </c>
      <c r="J737">
        <v>397</v>
      </c>
      <c r="K737" t="s">
        <v>319</v>
      </c>
      <c r="L737" s="145">
        <v>0.221</v>
      </c>
      <c r="M737" s="85">
        <f t="shared" ref="M737:M738" si="40">F737*L737</f>
        <v>0</v>
      </c>
    </row>
    <row r="738" spans="1:13" x14ac:dyDescent="0.2">
      <c r="A738" t="s">
        <v>356</v>
      </c>
      <c r="B738" t="s">
        <v>234</v>
      </c>
      <c r="C738">
        <v>208</v>
      </c>
      <c r="D738">
        <v>927.4</v>
      </c>
      <c r="E738">
        <v>4.2</v>
      </c>
      <c r="F738">
        <v>-0.01</v>
      </c>
      <c r="G738">
        <v>2E-3</v>
      </c>
      <c r="H738" t="s">
        <v>357</v>
      </c>
      <c r="I738">
        <v>38.299999999999997</v>
      </c>
      <c r="J738">
        <v>1028</v>
      </c>
      <c r="K738" t="s">
        <v>319</v>
      </c>
      <c r="L738" s="145">
        <v>0.52400000000000002</v>
      </c>
      <c r="M738" s="85">
        <f t="shared" si="40"/>
        <v>-5.2400000000000007E-3</v>
      </c>
    </row>
    <row r="739" spans="1:13" x14ac:dyDescent="0.2">
      <c r="A739" t="s">
        <v>338</v>
      </c>
      <c r="L739" s="85"/>
      <c r="M739" s="85"/>
    </row>
    <row r="740" spans="1:13" x14ac:dyDescent="0.2">
      <c r="A740" t="s">
        <v>339</v>
      </c>
      <c r="B740" t="s">
        <v>251</v>
      </c>
      <c r="L740" s="85"/>
      <c r="M740" s="85"/>
    </row>
    <row r="741" spans="1:13" x14ac:dyDescent="0.2">
      <c r="A741" t="s">
        <v>341</v>
      </c>
      <c r="B741" t="s">
        <v>342</v>
      </c>
      <c r="C741" t="s">
        <v>343</v>
      </c>
      <c r="D741" t="s">
        <v>405</v>
      </c>
      <c r="L741" s="85"/>
      <c r="M741" s="85"/>
    </row>
    <row r="742" spans="1:13" x14ac:dyDescent="0.2">
      <c r="A742" t="s">
        <v>345</v>
      </c>
      <c r="L742" s="85"/>
      <c r="M742" s="85"/>
    </row>
    <row r="743" spans="1:13" x14ac:dyDescent="0.2">
      <c r="A743" t="s">
        <v>346</v>
      </c>
      <c r="L743" s="85"/>
      <c r="M743" s="85"/>
    </row>
    <row r="744" spans="1:13" x14ac:dyDescent="0.2">
      <c r="A744" t="s">
        <v>347</v>
      </c>
      <c r="B744" t="s">
        <v>348</v>
      </c>
      <c r="C744" t="s">
        <v>349</v>
      </c>
      <c r="D744" t="s">
        <v>350</v>
      </c>
      <c r="E744" t="s">
        <v>351</v>
      </c>
      <c r="F744" t="s">
        <v>352</v>
      </c>
      <c r="G744" t="s">
        <v>353</v>
      </c>
      <c r="H744" t="s">
        <v>314</v>
      </c>
      <c r="I744" t="s">
        <v>351</v>
      </c>
      <c r="J744" t="s">
        <v>354</v>
      </c>
      <c r="K744" t="s">
        <v>355</v>
      </c>
      <c r="L744" s="85" t="s">
        <v>423</v>
      </c>
      <c r="M744" s="85" t="s">
        <v>424</v>
      </c>
    </row>
    <row r="745" spans="1:13" x14ac:dyDescent="0.2">
      <c r="A745" t="s">
        <v>356</v>
      </c>
      <c r="B745" t="s">
        <v>2</v>
      </c>
      <c r="C745">
        <v>57</v>
      </c>
      <c r="D745">
        <v>42663.3</v>
      </c>
      <c r="E745">
        <v>1.1000000000000001</v>
      </c>
      <c r="F745">
        <v>0.34</v>
      </c>
      <c r="G745">
        <v>0.64600000000000002</v>
      </c>
      <c r="H745" t="s">
        <v>357</v>
      </c>
      <c r="I745">
        <v>188.8</v>
      </c>
      <c r="J745">
        <v>42416</v>
      </c>
      <c r="K745" t="s">
        <v>319</v>
      </c>
      <c r="L745" s="85"/>
      <c r="M745" s="85"/>
    </row>
    <row r="746" spans="1:13" x14ac:dyDescent="0.2">
      <c r="A746" t="s">
        <v>356</v>
      </c>
      <c r="B746" t="s">
        <v>1</v>
      </c>
      <c r="C746">
        <v>27</v>
      </c>
      <c r="D746">
        <v>11090.3</v>
      </c>
      <c r="E746">
        <v>5.0999999999999996</v>
      </c>
      <c r="F746">
        <v>-0.23</v>
      </c>
      <c r="G746">
        <v>2.9000000000000001E-2</v>
      </c>
      <c r="H746" t="s">
        <v>357</v>
      </c>
      <c r="I746">
        <v>12.8</v>
      </c>
      <c r="J746">
        <v>15527</v>
      </c>
      <c r="K746" t="s">
        <v>319</v>
      </c>
      <c r="L746" s="85"/>
      <c r="M746" s="85"/>
    </row>
    <row r="747" spans="1:13" x14ac:dyDescent="0.2">
      <c r="A747" t="s">
        <v>356</v>
      </c>
      <c r="B747" t="s">
        <v>227</v>
      </c>
      <c r="C747">
        <v>53</v>
      </c>
      <c r="D747">
        <v>295.7</v>
      </c>
      <c r="E747">
        <v>3.7</v>
      </c>
      <c r="F747">
        <v>-0.01</v>
      </c>
      <c r="G747">
        <v>4.0000000000000001E-3</v>
      </c>
      <c r="H747" t="s">
        <v>357</v>
      </c>
      <c r="I747">
        <v>34.4</v>
      </c>
      <c r="J747">
        <v>328</v>
      </c>
      <c r="K747" t="s">
        <v>319</v>
      </c>
      <c r="L747" s="85"/>
      <c r="M747" s="85"/>
    </row>
    <row r="748" spans="1:13" x14ac:dyDescent="0.2">
      <c r="A748" t="s">
        <v>356</v>
      </c>
      <c r="B748" t="s">
        <v>228</v>
      </c>
      <c r="C748">
        <v>55</v>
      </c>
      <c r="D748">
        <v>1088.4000000000001</v>
      </c>
      <c r="E748">
        <v>4.3</v>
      </c>
      <c r="F748">
        <v>-0.02</v>
      </c>
      <c r="G748">
        <v>1E-3</v>
      </c>
      <c r="H748" t="s">
        <v>357</v>
      </c>
      <c r="I748">
        <v>5.7</v>
      </c>
      <c r="J748">
        <v>1912</v>
      </c>
      <c r="K748" t="s">
        <v>319</v>
      </c>
      <c r="L748" s="85"/>
      <c r="M748" s="85"/>
    </row>
    <row r="749" spans="1:13" x14ac:dyDescent="0.2">
      <c r="A749" t="s">
        <v>356</v>
      </c>
      <c r="B749" t="s">
        <v>229</v>
      </c>
      <c r="C749">
        <v>63</v>
      </c>
      <c r="D749">
        <v>870</v>
      </c>
      <c r="E749">
        <v>5.3</v>
      </c>
      <c r="F749">
        <v>0.01</v>
      </c>
      <c r="G749">
        <v>3.0000000000000001E-3</v>
      </c>
      <c r="H749" t="s">
        <v>357</v>
      </c>
      <c r="I749">
        <v>26.4</v>
      </c>
      <c r="J749">
        <v>694</v>
      </c>
      <c r="K749" t="s">
        <v>319</v>
      </c>
      <c r="L749" s="85"/>
      <c r="M749" s="85"/>
    </row>
    <row r="750" spans="1:13" x14ac:dyDescent="0.2">
      <c r="A750" t="s">
        <v>356</v>
      </c>
      <c r="B750" t="s">
        <v>230</v>
      </c>
      <c r="C750">
        <v>66</v>
      </c>
      <c r="D750">
        <v>252</v>
      </c>
      <c r="E750">
        <v>3.1</v>
      </c>
      <c r="F750">
        <v>0</v>
      </c>
      <c r="G750">
        <v>2E-3</v>
      </c>
      <c r="H750" t="s">
        <v>357</v>
      </c>
      <c r="I750">
        <v>264.60000000000002</v>
      </c>
      <c r="J750">
        <v>255</v>
      </c>
      <c r="K750" t="s">
        <v>319</v>
      </c>
      <c r="L750" s="85"/>
      <c r="M750" s="85"/>
    </row>
    <row r="751" spans="1:13" x14ac:dyDescent="0.2">
      <c r="A751" t="s">
        <v>356</v>
      </c>
      <c r="B751" t="s">
        <v>231</v>
      </c>
      <c r="C751">
        <v>75</v>
      </c>
      <c r="D751">
        <v>21</v>
      </c>
      <c r="E751">
        <v>21.8</v>
      </c>
      <c r="F751">
        <v>0</v>
      </c>
      <c r="G751">
        <v>1E-3</v>
      </c>
      <c r="H751" t="s">
        <v>357</v>
      </c>
      <c r="I751">
        <v>32</v>
      </c>
      <c r="J751">
        <v>35</v>
      </c>
      <c r="K751" t="s">
        <v>319</v>
      </c>
      <c r="L751" s="85"/>
      <c r="M751" s="85"/>
    </row>
    <row r="752" spans="1:13" x14ac:dyDescent="0.2">
      <c r="A752" t="s">
        <v>356</v>
      </c>
      <c r="B752" t="s">
        <v>232</v>
      </c>
      <c r="C752">
        <v>111</v>
      </c>
      <c r="D752">
        <v>12.7</v>
      </c>
      <c r="E752">
        <v>12.1</v>
      </c>
      <c r="F752">
        <v>0</v>
      </c>
      <c r="G752">
        <v>0</v>
      </c>
      <c r="H752" t="s">
        <v>357</v>
      </c>
      <c r="I752">
        <v>12.7</v>
      </c>
      <c r="J752">
        <v>25</v>
      </c>
      <c r="K752" t="s">
        <v>319</v>
      </c>
      <c r="L752" s="85"/>
      <c r="M752" s="85"/>
    </row>
    <row r="753" spans="1:13" x14ac:dyDescent="0.2">
      <c r="A753" t="s">
        <v>356</v>
      </c>
      <c r="B753" t="s">
        <v>233</v>
      </c>
      <c r="C753">
        <v>118</v>
      </c>
      <c r="D753">
        <v>107.7</v>
      </c>
      <c r="E753">
        <v>6.3</v>
      </c>
      <c r="F753">
        <v>-0.01</v>
      </c>
      <c r="G753">
        <v>1E-3</v>
      </c>
      <c r="H753" t="s">
        <v>357</v>
      </c>
      <c r="I753">
        <v>6.2</v>
      </c>
      <c r="J753">
        <v>217</v>
      </c>
      <c r="K753" t="s">
        <v>319</v>
      </c>
      <c r="L753" s="85"/>
      <c r="M753" s="85"/>
    </row>
    <row r="754" spans="1:13" x14ac:dyDescent="0.2">
      <c r="A754" t="s">
        <v>356</v>
      </c>
      <c r="B754" t="s">
        <v>234</v>
      </c>
      <c r="C754">
        <v>206</v>
      </c>
      <c r="D754">
        <v>429.7</v>
      </c>
      <c r="E754">
        <v>3.2</v>
      </c>
      <c r="F754">
        <v>0</v>
      </c>
      <c r="G754">
        <v>1E-3</v>
      </c>
      <c r="H754" t="s">
        <v>357</v>
      </c>
      <c r="I754">
        <v>57.4</v>
      </c>
      <c r="J754">
        <v>453</v>
      </c>
      <c r="K754" t="s">
        <v>319</v>
      </c>
      <c r="L754" s="145">
        <v>0.24099999999999999</v>
      </c>
      <c r="M754" s="85">
        <f>F754*L754</f>
        <v>0</v>
      </c>
    </row>
    <row r="755" spans="1:13" x14ac:dyDescent="0.2">
      <c r="A755" t="s">
        <v>356</v>
      </c>
      <c r="B755" t="s">
        <v>234</v>
      </c>
      <c r="C755">
        <v>207</v>
      </c>
      <c r="D755">
        <v>410.3</v>
      </c>
      <c r="E755">
        <v>7.2</v>
      </c>
      <c r="F755">
        <v>0</v>
      </c>
      <c r="G755">
        <v>4.0000000000000001E-3</v>
      </c>
      <c r="H755" t="s">
        <v>357</v>
      </c>
      <c r="I755">
        <v>215.7</v>
      </c>
      <c r="J755">
        <v>397</v>
      </c>
      <c r="K755" t="s">
        <v>319</v>
      </c>
      <c r="L755" s="145">
        <v>0.221</v>
      </c>
      <c r="M755" s="85">
        <f t="shared" ref="M755:M756" si="41">F755*L755</f>
        <v>0</v>
      </c>
    </row>
    <row r="756" spans="1:13" x14ac:dyDescent="0.2">
      <c r="A756" t="s">
        <v>356</v>
      </c>
      <c r="B756" t="s">
        <v>234</v>
      </c>
      <c r="C756">
        <v>208</v>
      </c>
      <c r="D756">
        <v>963.7</v>
      </c>
      <c r="E756">
        <v>1.6</v>
      </c>
      <c r="F756">
        <v>0</v>
      </c>
      <c r="G756">
        <v>1E-3</v>
      </c>
      <c r="H756" t="s">
        <v>357</v>
      </c>
      <c r="I756">
        <v>24.1</v>
      </c>
      <c r="J756">
        <v>1028</v>
      </c>
      <c r="K756" t="s">
        <v>319</v>
      </c>
      <c r="L756" s="145">
        <v>0.52400000000000002</v>
      </c>
      <c r="M756" s="85">
        <f t="shared" si="41"/>
        <v>0</v>
      </c>
    </row>
    <row r="757" spans="1:13" x14ac:dyDescent="0.2">
      <c r="A757" t="s">
        <v>338</v>
      </c>
      <c r="L757" s="85"/>
      <c r="M757" s="85"/>
    </row>
    <row r="758" spans="1:13" x14ac:dyDescent="0.2">
      <c r="A758" t="s">
        <v>339</v>
      </c>
      <c r="B758" t="s">
        <v>340</v>
      </c>
      <c r="L758" s="85"/>
      <c r="M758" s="85"/>
    </row>
    <row r="759" spans="1:13" x14ac:dyDescent="0.2">
      <c r="A759" t="s">
        <v>341</v>
      </c>
      <c r="B759" t="s">
        <v>342</v>
      </c>
      <c r="C759" t="s">
        <v>343</v>
      </c>
      <c r="D759" t="s">
        <v>406</v>
      </c>
      <c r="L759" s="85"/>
      <c r="M759" s="85"/>
    </row>
    <row r="760" spans="1:13" x14ac:dyDescent="0.2">
      <c r="A760" t="s">
        <v>345</v>
      </c>
      <c r="L760" s="85"/>
      <c r="M760" s="85"/>
    </row>
    <row r="761" spans="1:13" x14ac:dyDescent="0.2">
      <c r="A761" t="s">
        <v>346</v>
      </c>
      <c r="L761" s="85"/>
      <c r="M761" s="85"/>
    </row>
    <row r="762" spans="1:13" x14ac:dyDescent="0.2">
      <c r="A762" t="s">
        <v>347</v>
      </c>
      <c r="B762" t="s">
        <v>348</v>
      </c>
      <c r="C762" t="s">
        <v>349</v>
      </c>
      <c r="D762" t="s">
        <v>350</v>
      </c>
      <c r="E762" t="s">
        <v>351</v>
      </c>
      <c r="F762" t="s">
        <v>352</v>
      </c>
      <c r="G762" t="s">
        <v>353</v>
      </c>
      <c r="H762" t="s">
        <v>314</v>
      </c>
      <c r="I762" t="s">
        <v>351</v>
      </c>
      <c r="J762" t="s">
        <v>354</v>
      </c>
      <c r="K762" t="s">
        <v>355</v>
      </c>
      <c r="L762" s="85" t="s">
        <v>423</v>
      </c>
      <c r="M762" s="85" t="s">
        <v>424</v>
      </c>
    </row>
    <row r="763" spans="1:13" x14ac:dyDescent="0.2">
      <c r="A763" t="s">
        <v>356</v>
      </c>
      <c r="B763" t="s">
        <v>2</v>
      </c>
      <c r="C763">
        <v>57</v>
      </c>
      <c r="D763">
        <v>42286.8</v>
      </c>
      <c r="E763">
        <v>2.1</v>
      </c>
      <c r="H763" t="s">
        <v>357</v>
      </c>
      <c r="K763" t="s">
        <v>319</v>
      </c>
      <c r="L763" s="85"/>
      <c r="M763" s="85"/>
    </row>
    <row r="764" spans="1:13" x14ac:dyDescent="0.2">
      <c r="A764" t="s">
        <v>356</v>
      </c>
      <c r="B764" t="s">
        <v>1</v>
      </c>
      <c r="C764">
        <v>27</v>
      </c>
      <c r="D764">
        <v>10496.5</v>
      </c>
      <c r="E764">
        <v>2.8</v>
      </c>
      <c r="H764" t="s">
        <v>357</v>
      </c>
      <c r="K764" t="s">
        <v>319</v>
      </c>
      <c r="L764" s="85"/>
      <c r="M764" s="85"/>
    </row>
    <row r="765" spans="1:13" x14ac:dyDescent="0.2">
      <c r="A765" t="s">
        <v>356</v>
      </c>
      <c r="B765" t="s">
        <v>227</v>
      </c>
      <c r="C765">
        <v>53</v>
      </c>
      <c r="D765">
        <v>324.7</v>
      </c>
      <c r="E765">
        <v>4.8</v>
      </c>
      <c r="H765" t="s">
        <v>357</v>
      </c>
      <c r="K765" t="s">
        <v>319</v>
      </c>
      <c r="L765" s="85"/>
      <c r="M765" s="85"/>
    </row>
    <row r="766" spans="1:13" x14ac:dyDescent="0.2">
      <c r="A766" t="s">
        <v>356</v>
      </c>
      <c r="B766" t="s">
        <v>228</v>
      </c>
      <c r="C766">
        <v>55</v>
      </c>
      <c r="D766">
        <v>1037</v>
      </c>
      <c r="E766">
        <v>2.4</v>
      </c>
      <c r="H766" t="s">
        <v>357</v>
      </c>
      <c r="K766" t="s">
        <v>319</v>
      </c>
      <c r="L766" s="85"/>
      <c r="M766" s="85"/>
    </row>
    <row r="767" spans="1:13" x14ac:dyDescent="0.2">
      <c r="A767" t="s">
        <v>356</v>
      </c>
      <c r="B767" t="s">
        <v>229</v>
      </c>
      <c r="C767">
        <v>63</v>
      </c>
      <c r="D767">
        <v>938.4</v>
      </c>
      <c r="E767">
        <v>12.9</v>
      </c>
      <c r="H767" t="s">
        <v>357</v>
      </c>
      <c r="K767" t="s">
        <v>319</v>
      </c>
      <c r="L767" s="85"/>
      <c r="M767" s="85"/>
    </row>
    <row r="768" spans="1:13" x14ac:dyDescent="0.2">
      <c r="A768" t="s">
        <v>356</v>
      </c>
      <c r="B768" t="s">
        <v>230</v>
      </c>
      <c r="C768">
        <v>66</v>
      </c>
      <c r="D768">
        <v>262.3</v>
      </c>
      <c r="E768">
        <v>9.6</v>
      </c>
      <c r="H768" t="s">
        <v>357</v>
      </c>
      <c r="K768" t="s">
        <v>319</v>
      </c>
      <c r="L768" s="85"/>
      <c r="M768" s="85"/>
    </row>
    <row r="769" spans="1:13" x14ac:dyDescent="0.2">
      <c r="A769" t="s">
        <v>356</v>
      </c>
      <c r="B769" t="s">
        <v>231</v>
      </c>
      <c r="C769">
        <v>75</v>
      </c>
      <c r="D769">
        <v>17</v>
      </c>
      <c r="E769">
        <v>21.2</v>
      </c>
      <c r="H769" t="s">
        <v>357</v>
      </c>
      <c r="K769" t="s">
        <v>319</v>
      </c>
      <c r="L769" s="85"/>
      <c r="M769" s="85"/>
    </row>
    <row r="770" spans="1:13" x14ac:dyDescent="0.2">
      <c r="A770" t="s">
        <v>356</v>
      </c>
      <c r="B770" t="s">
        <v>232</v>
      </c>
      <c r="C770">
        <v>111</v>
      </c>
      <c r="D770">
        <v>10.7</v>
      </c>
      <c r="E770">
        <v>37.9</v>
      </c>
      <c r="H770" t="s">
        <v>357</v>
      </c>
      <c r="K770" t="s">
        <v>319</v>
      </c>
      <c r="L770" s="85"/>
      <c r="M770" s="85"/>
    </row>
    <row r="771" spans="1:13" x14ac:dyDescent="0.2">
      <c r="A771" t="s">
        <v>356</v>
      </c>
      <c r="B771" t="s">
        <v>233</v>
      </c>
      <c r="C771">
        <v>118</v>
      </c>
      <c r="D771">
        <v>108</v>
      </c>
      <c r="E771">
        <v>14.5</v>
      </c>
      <c r="H771" t="s">
        <v>357</v>
      </c>
      <c r="K771" t="s">
        <v>319</v>
      </c>
      <c r="L771" s="85"/>
      <c r="M771" s="85"/>
    </row>
    <row r="772" spans="1:13" x14ac:dyDescent="0.2">
      <c r="A772" t="s">
        <v>356</v>
      </c>
      <c r="B772" t="s">
        <v>234</v>
      </c>
      <c r="C772">
        <v>206</v>
      </c>
      <c r="D772">
        <v>441.7</v>
      </c>
      <c r="E772">
        <v>1.9</v>
      </c>
      <c r="H772" t="s">
        <v>357</v>
      </c>
      <c r="K772" t="s">
        <v>319</v>
      </c>
      <c r="L772" s="145">
        <v>0.24099999999999999</v>
      </c>
      <c r="M772" s="85">
        <f>F772*L772</f>
        <v>0</v>
      </c>
    </row>
    <row r="773" spans="1:13" x14ac:dyDescent="0.2">
      <c r="A773" t="s">
        <v>356</v>
      </c>
      <c r="B773" t="s">
        <v>234</v>
      </c>
      <c r="C773">
        <v>207</v>
      </c>
      <c r="D773">
        <v>389.3</v>
      </c>
      <c r="E773">
        <v>4.8</v>
      </c>
      <c r="H773" t="s">
        <v>357</v>
      </c>
      <c r="K773" t="s">
        <v>319</v>
      </c>
      <c r="L773" s="145">
        <v>0.221</v>
      </c>
      <c r="M773" s="85">
        <f t="shared" ref="M773:M774" si="42">F773*L773</f>
        <v>0</v>
      </c>
    </row>
    <row r="774" spans="1:13" x14ac:dyDescent="0.2">
      <c r="A774" t="s">
        <v>356</v>
      </c>
      <c r="B774" t="s">
        <v>234</v>
      </c>
      <c r="C774">
        <v>208</v>
      </c>
      <c r="D774">
        <v>954.4</v>
      </c>
      <c r="E774">
        <v>2</v>
      </c>
      <c r="H774" t="s">
        <v>357</v>
      </c>
      <c r="K774" t="s">
        <v>319</v>
      </c>
      <c r="L774" s="145">
        <v>0.52400000000000002</v>
      </c>
      <c r="M774" s="85">
        <f t="shared" si="42"/>
        <v>0</v>
      </c>
    </row>
    <row r="775" spans="1:13" x14ac:dyDescent="0.2">
      <c r="A775" t="s">
        <v>338</v>
      </c>
      <c r="L775" s="85"/>
      <c r="M775" s="85"/>
    </row>
    <row r="776" spans="1:13" x14ac:dyDescent="0.2">
      <c r="A776" t="s">
        <v>339</v>
      </c>
      <c r="B776" t="s">
        <v>358</v>
      </c>
      <c r="L776" s="85"/>
      <c r="M776" s="85"/>
    </row>
    <row r="777" spans="1:13" x14ac:dyDescent="0.2">
      <c r="A777" t="s">
        <v>341</v>
      </c>
      <c r="B777" t="s">
        <v>342</v>
      </c>
      <c r="C777" t="s">
        <v>343</v>
      </c>
      <c r="D777" t="s">
        <v>407</v>
      </c>
      <c r="L777" s="85"/>
      <c r="M777" s="85"/>
    </row>
    <row r="778" spans="1:13" x14ac:dyDescent="0.2">
      <c r="A778" t="s">
        <v>345</v>
      </c>
      <c r="L778" s="85"/>
      <c r="M778" s="85"/>
    </row>
    <row r="779" spans="1:13" x14ac:dyDescent="0.2">
      <c r="A779" t="s">
        <v>346</v>
      </c>
      <c r="L779" s="85"/>
      <c r="M779" s="85"/>
    </row>
    <row r="780" spans="1:13" x14ac:dyDescent="0.2">
      <c r="A780" t="s">
        <v>347</v>
      </c>
      <c r="B780" t="s">
        <v>348</v>
      </c>
      <c r="C780" t="s">
        <v>349</v>
      </c>
      <c r="D780" t="s">
        <v>350</v>
      </c>
      <c r="E780" t="s">
        <v>351</v>
      </c>
      <c r="F780" t="s">
        <v>352</v>
      </c>
      <c r="G780" t="s">
        <v>353</v>
      </c>
      <c r="H780" t="s">
        <v>314</v>
      </c>
      <c r="I780" t="s">
        <v>351</v>
      </c>
      <c r="J780" t="s">
        <v>354</v>
      </c>
      <c r="K780" t="s">
        <v>355</v>
      </c>
      <c r="L780" s="85" t="s">
        <v>423</v>
      </c>
      <c r="M780" s="85" t="s">
        <v>424</v>
      </c>
    </row>
    <row r="781" spans="1:13" x14ac:dyDescent="0.2">
      <c r="A781" t="s">
        <v>356</v>
      </c>
      <c r="B781" t="s">
        <v>2</v>
      </c>
      <c r="C781">
        <v>57</v>
      </c>
      <c r="D781">
        <v>134006.39999999999</v>
      </c>
      <c r="E781">
        <v>1.6</v>
      </c>
      <c r="F781">
        <v>126.54</v>
      </c>
      <c r="G781">
        <v>3.0259999999999998</v>
      </c>
      <c r="H781" t="s">
        <v>357</v>
      </c>
      <c r="I781">
        <v>2.4</v>
      </c>
      <c r="J781">
        <v>42287</v>
      </c>
      <c r="K781" t="s">
        <v>319</v>
      </c>
      <c r="L781" s="85"/>
      <c r="M781" s="85"/>
    </row>
    <row r="782" spans="1:13" x14ac:dyDescent="0.2">
      <c r="A782" t="s">
        <v>356</v>
      </c>
      <c r="B782" t="s">
        <v>1</v>
      </c>
      <c r="C782">
        <v>27</v>
      </c>
      <c r="D782">
        <v>2552085.4</v>
      </c>
      <c r="E782">
        <v>0.3</v>
      </c>
      <c r="F782">
        <v>131.30000000000001</v>
      </c>
      <c r="G782">
        <v>0.34300000000000003</v>
      </c>
      <c r="H782" t="s">
        <v>357</v>
      </c>
      <c r="I782">
        <v>0.3</v>
      </c>
      <c r="J782">
        <v>10497</v>
      </c>
      <c r="K782" t="s">
        <v>319</v>
      </c>
      <c r="L782" s="85"/>
      <c r="M782" s="85"/>
    </row>
    <row r="783" spans="1:13" x14ac:dyDescent="0.2">
      <c r="A783" t="s">
        <v>356</v>
      </c>
      <c r="B783" t="s">
        <v>227</v>
      </c>
      <c r="C783">
        <v>53</v>
      </c>
      <c r="D783">
        <v>7152.1</v>
      </c>
      <c r="E783">
        <v>1.7</v>
      </c>
      <c r="F783">
        <v>2.61</v>
      </c>
      <c r="G783">
        <v>4.5999999999999999E-2</v>
      </c>
      <c r="H783" t="s">
        <v>357</v>
      </c>
      <c r="I783">
        <v>1.8</v>
      </c>
      <c r="J783">
        <v>325</v>
      </c>
      <c r="K783" t="s">
        <v>319</v>
      </c>
      <c r="L783" s="85"/>
      <c r="M783" s="85"/>
    </row>
    <row r="784" spans="1:13" x14ac:dyDescent="0.2">
      <c r="A784" t="s">
        <v>356</v>
      </c>
      <c r="B784" t="s">
        <v>228</v>
      </c>
      <c r="C784">
        <v>55</v>
      </c>
      <c r="D784">
        <v>451821.4</v>
      </c>
      <c r="E784">
        <v>0.2</v>
      </c>
      <c r="F784">
        <v>12.78</v>
      </c>
      <c r="G784">
        <v>2.1999999999999999E-2</v>
      </c>
      <c r="H784" t="s">
        <v>357</v>
      </c>
      <c r="I784">
        <v>0.2</v>
      </c>
      <c r="J784">
        <v>1037</v>
      </c>
      <c r="K784" t="s">
        <v>319</v>
      </c>
      <c r="L784" s="85"/>
      <c r="M784" s="85"/>
    </row>
    <row r="785" spans="1:13" x14ac:dyDescent="0.2">
      <c r="A785" t="s">
        <v>356</v>
      </c>
      <c r="B785" t="s">
        <v>229</v>
      </c>
      <c r="C785">
        <v>63</v>
      </c>
      <c r="D785">
        <v>171706.8</v>
      </c>
      <c r="E785">
        <v>0.6</v>
      </c>
      <c r="F785">
        <v>12.45</v>
      </c>
      <c r="G785">
        <v>8.1000000000000003E-2</v>
      </c>
      <c r="H785" t="s">
        <v>357</v>
      </c>
      <c r="I785">
        <v>0.7</v>
      </c>
      <c r="J785">
        <v>938</v>
      </c>
      <c r="K785" t="s">
        <v>319</v>
      </c>
      <c r="L785" s="85"/>
      <c r="M785" s="85"/>
    </row>
    <row r="786" spans="1:13" x14ac:dyDescent="0.2">
      <c r="A786" t="s">
        <v>356</v>
      </c>
      <c r="B786" t="s">
        <v>230</v>
      </c>
      <c r="C786">
        <v>66</v>
      </c>
      <c r="D786">
        <v>42810</v>
      </c>
      <c r="E786">
        <v>0.4</v>
      </c>
      <c r="F786">
        <v>13.07</v>
      </c>
      <c r="G786">
        <v>4.7E-2</v>
      </c>
      <c r="H786" t="s">
        <v>357</v>
      </c>
      <c r="I786">
        <v>0.4</v>
      </c>
      <c r="J786">
        <v>262</v>
      </c>
      <c r="K786" t="s">
        <v>319</v>
      </c>
      <c r="L786" s="85"/>
      <c r="M786" s="85"/>
    </row>
    <row r="787" spans="1:13" x14ac:dyDescent="0.2">
      <c r="A787" t="s">
        <v>356</v>
      </c>
      <c r="B787" t="s">
        <v>231</v>
      </c>
      <c r="C787">
        <v>75</v>
      </c>
      <c r="D787">
        <v>8290.7000000000007</v>
      </c>
      <c r="E787">
        <v>0.5</v>
      </c>
      <c r="F787">
        <v>2.68</v>
      </c>
      <c r="G787">
        <v>1.2999999999999999E-2</v>
      </c>
      <c r="H787" t="s">
        <v>357</v>
      </c>
      <c r="I787">
        <v>0.5</v>
      </c>
      <c r="J787">
        <v>17</v>
      </c>
      <c r="K787" t="s">
        <v>319</v>
      </c>
      <c r="L787" s="85"/>
      <c r="M787" s="85"/>
    </row>
    <row r="788" spans="1:13" x14ac:dyDescent="0.2">
      <c r="A788" t="s">
        <v>356</v>
      </c>
      <c r="B788" t="s">
        <v>232</v>
      </c>
      <c r="C788">
        <v>111</v>
      </c>
      <c r="D788">
        <v>10079.200000000001</v>
      </c>
      <c r="E788">
        <v>1.1000000000000001</v>
      </c>
      <c r="F788">
        <v>2.4500000000000002</v>
      </c>
      <c r="G788">
        <v>2.7E-2</v>
      </c>
      <c r="H788" t="s">
        <v>357</v>
      </c>
      <c r="I788">
        <v>1.1000000000000001</v>
      </c>
      <c r="J788">
        <v>11</v>
      </c>
      <c r="K788" t="s">
        <v>319</v>
      </c>
      <c r="L788" s="85"/>
      <c r="M788" s="85"/>
    </row>
    <row r="789" spans="1:13" x14ac:dyDescent="0.2">
      <c r="A789" t="s">
        <v>356</v>
      </c>
      <c r="B789" t="s">
        <v>233</v>
      </c>
      <c r="C789">
        <v>118</v>
      </c>
      <c r="D789">
        <v>28595.9</v>
      </c>
      <c r="E789">
        <v>1.1000000000000001</v>
      </c>
      <c r="F789">
        <v>2.48</v>
      </c>
      <c r="G789">
        <v>2.7E-2</v>
      </c>
      <c r="H789" t="s">
        <v>357</v>
      </c>
      <c r="I789">
        <v>1.1000000000000001</v>
      </c>
      <c r="J789">
        <v>108</v>
      </c>
      <c r="K789" t="s">
        <v>319</v>
      </c>
      <c r="L789" s="85"/>
      <c r="M789" s="85"/>
    </row>
    <row r="790" spans="1:13" x14ac:dyDescent="0.2">
      <c r="A790" t="s">
        <v>356</v>
      </c>
      <c r="B790" t="s">
        <v>234</v>
      </c>
      <c r="C790">
        <v>206</v>
      </c>
      <c r="D790">
        <v>23201.5</v>
      </c>
      <c r="E790">
        <v>0.5</v>
      </c>
      <c r="F790">
        <v>2.38</v>
      </c>
      <c r="G790">
        <v>1.0999999999999999E-2</v>
      </c>
      <c r="H790" t="s">
        <v>357</v>
      </c>
      <c r="I790">
        <v>0.5</v>
      </c>
      <c r="J790">
        <v>442</v>
      </c>
      <c r="K790" t="s">
        <v>319</v>
      </c>
      <c r="L790" s="145">
        <v>0.24099999999999999</v>
      </c>
      <c r="M790" s="85">
        <f>F790*L790</f>
        <v>0.57357999999999998</v>
      </c>
    </row>
    <row r="791" spans="1:13" x14ac:dyDescent="0.2">
      <c r="A791" t="s">
        <v>356</v>
      </c>
      <c r="B791" t="s">
        <v>234</v>
      </c>
      <c r="C791">
        <v>207</v>
      </c>
      <c r="D791">
        <v>18030</v>
      </c>
      <c r="E791">
        <v>1.3</v>
      </c>
      <c r="F791">
        <v>2.4</v>
      </c>
      <c r="G791">
        <v>3.3000000000000002E-2</v>
      </c>
      <c r="H791" t="s">
        <v>357</v>
      </c>
      <c r="I791">
        <v>1.4</v>
      </c>
      <c r="J791">
        <v>389</v>
      </c>
      <c r="K791" t="s">
        <v>319</v>
      </c>
      <c r="L791" s="145">
        <v>0.221</v>
      </c>
      <c r="M791" s="85">
        <f t="shared" ref="M791:M792" si="43">F791*L791</f>
        <v>0.53039999999999998</v>
      </c>
    </row>
    <row r="792" spans="1:13" x14ac:dyDescent="0.2">
      <c r="A792" t="s">
        <v>356</v>
      </c>
      <c r="B792" t="s">
        <v>234</v>
      </c>
      <c r="C792">
        <v>208</v>
      </c>
      <c r="D792">
        <v>45327.1</v>
      </c>
      <c r="E792">
        <v>0.3</v>
      </c>
      <c r="F792">
        <v>2.4</v>
      </c>
      <c r="G792">
        <v>8.0000000000000002E-3</v>
      </c>
      <c r="H792" t="s">
        <v>357</v>
      </c>
      <c r="I792">
        <v>0.3</v>
      </c>
      <c r="J792">
        <v>954</v>
      </c>
      <c r="K792" t="s">
        <v>319</v>
      </c>
      <c r="L792" s="145">
        <v>0.52400000000000002</v>
      </c>
      <c r="M792" s="85">
        <f t="shared" si="43"/>
        <v>1.2576000000000001</v>
      </c>
    </row>
    <row r="793" spans="1:13" x14ac:dyDescent="0.2">
      <c r="A793" t="s">
        <v>338</v>
      </c>
      <c r="L793" s="85"/>
      <c r="M793" s="85"/>
    </row>
    <row r="794" spans="1:13" x14ac:dyDescent="0.2">
      <c r="A794" t="s">
        <v>339</v>
      </c>
      <c r="B794" t="s">
        <v>360</v>
      </c>
      <c r="L794" s="85"/>
      <c r="M794" s="85"/>
    </row>
    <row r="795" spans="1:13" x14ac:dyDescent="0.2">
      <c r="A795" t="s">
        <v>341</v>
      </c>
      <c r="B795" t="s">
        <v>342</v>
      </c>
      <c r="C795" t="s">
        <v>343</v>
      </c>
      <c r="D795" t="s">
        <v>408</v>
      </c>
      <c r="L795" s="85"/>
      <c r="M795" s="85"/>
    </row>
    <row r="796" spans="1:13" x14ac:dyDescent="0.2">
      <c r="A796" t="s">
        <v>345</v>
      </c>
      <c r="L796" s="85"/>
      <c r="M796" s="85"/>
    </row>
    <row r="797" spans="1:13" x14ac:dyDescent="0.2">
      <c r="A797" t="s">
        <v>346</v>
      </c>
      <c r="L797" s="85"/>
      <c r="M797" s="85"/>
    </row>
    <row r="798" spans="1:13" x14ac:dyDescent="0.2">
      <c r="A798" t="s">
        <v>347</v>
      </c>
      <c r="B798" t="s">
        <v>348</v>
      </c>
      <c r="C798" t="s">
        <v>349</v>
      </c>
      <c r="D798" t="s">
        <v>350</v>
      </c>
      <c r="E798" t="s">
        <v>351</v>
      </c>
      <c r="F798" t="s">
        <v>352</v>
      </c>
      <c r="G798" t="s">
        <v>353</v>
      </c>
      <c r="H798" t="s">
        <v>314</v>
      </c>
      <c r="I798" t="s">
        <v>351</v>
      </c>
      <c r="J798" t="s">
        <v>354</v>
      </c>
      <c r="K798" t="s">
        <v>355</v>
      </c>
      <c r="L798" s="85" t="s">
        <v>423</v>
      </c>
      <c r="M798" s="85" t="s">
        <v>424</v>
      </c>
    </row>
    <row r="799" spans="1:13" x14ac:dyDescent="0.2">
      <c r="A799" t="s">
        <v>356</v>
      </c>
      <c r="B799" t="s">
        <v>2</v>
      </c>
      <c r="C799">
        <v>57</v>
      </c>
      <c r="D799">
        <v>226747.3</v>
      </c>
      <c r="E799">
        <v>0.1</v>
      </c>
      <c r="F799">
        <v>254.01</v>
      </c>
      <c r="G799">
        <v>0.314</v>
      </c>
      <c r="H799" t="s">
        <v>357</v>
      </c>
      <c r="I799">
        <v>0.1</v>
      </c>
      <c r="J799">
        <v>42287</v>
      </c>
      <c r="K799" t="s">
        <v>319</v>
      </c>
      <c r="L799" s="85"/>
      <c r="M799" s="85"/>
    </row>
    <row r="800" spans="1:13" x14ac:dyDescent="0.2">
      <c r="A800" t="s">
        <v>356</v>
      </c>
      <c r="B800" t="s">
        <v>1</v>
      </c>
      <c r="C800">
        <v>27</v>
      </c>
      <c r="D800">
        <v>5078196.4000000004</v>
      </c>
      <c r="E800">
        <v>0.6</v>
      </c>
      <c r="F800">
        <v>259.95999999999998</v>
      </c>
      <c r="G800">
        <v>1.5609999999999999</v>
      </c>
      <c r="H800" t="s">
        <v>357</v>
      </c>
      <c r="I800">
        <v>0.6</v>
      </c>
      <c r="J800">
        <v>10497</v>
      </c>
      <c r="K800" t="s">
        <v>319</v>
      </c>
      <c r="L800" s="85"/>
      <c r="M800" s="85"/>
    </row>
    <row r="801" spans="1:13" x14ac:dyDescent="0.2">
      <c r="A801" t="s">
        <v>356</v>
      </c>
      <c r="B801" t="s">
        <v>227</v>
      </c>
      <c r="C801">
        <v>53</v>
      </c>
      <c r="D801">
        <v>14023.2</v>
      </c>
      <c r="E801">
        <v>0.6</v>
      </c>
      <c r="F801">
        <v>5.2</v>
      </c>
      <c r="G801">
        <v>0.03</v>
      </c>
      <c r="H801" t="s">
        <v>357</v>
      </c>
      <c r="I801">
        <v>0.6</v>
      </c>
      <c r="J801">
        <v>325</v>
      </c>
      <c r="K801" t="s">
        <v>319</v>
      </c>
      <c r="L801" s="85"/>
      <c r="M801" s="85"/>
    </row>
    <row r="802" spans="1:13" x14ac:dyDescent="0.2">
      <c r="A802" t="s">
        <v>356</v>
      </c>
      <c r="B802" t="s">
        <v>228</v>
      </c>
      <c r="C802">
        <v>55</v>
      </c>
      <c r="D802">
        <v>894329.4</v>
      </c>
      <c r="E802">
        <v>0.6</v>
      </c>
      <c r="F802">
        <v>25.25</v>
      </c>
      <c r="G802">
        <v>0.13900000000000001</v>
      </c>
      <c r="H802" t="s">
        <v>357</v>
      </c>
      <c r="I802">
        <v>0.6</v>
      </c>
      <c r="J802">
        <v>1037</v>
      </c>
      <c r="K802" t="s">
        <v>319</v>
      </c>
      <c r="L802" s="85"/>
      <c r="M802" s="85"/>
    </row>
    <row r="803" spans="1:13" x14ac:dyDescent="0.2">
      <c r="A803" t="s">
        <v>356</v>
      </c>
      <c r="B803" t="s">
        <v>229</v>
      </c>
      <c r="C803">
        <v>63</v>
      </c>
      <c r="D803">
        <v>345694.8</v>
      </c>
      <c r="E803">
        <v>0.6</v>
      </c>
      <c r="F803">
        <v>25.11</v>
      </c>
      <c r="G803">
        <v>0.156</v>
      </c>
      <c r="H803" t="s">
        <v>357</v>
      </c>
      <c r="I803">
        <v>0.6</v>
      </c>
      <c r="J803">
        <v>938</v>
      </c>
      <c r="K803" t="s">
        <v>319</v>
      </c>
      <c r="L803" s="85"/>
      <c r="M803" s="85"/>
    </row>
    <row r="804" spans="1:13" x14ac:dyDescent="0.2">
      <c r="A804" t="s">
        <v>356</v>
      </c>
      <c r="B804" t="s">
        <v>230</v>
      </c>
      <c r="C804">
        <v>66</v>
      </c>
      <c r="D804">
        <v>82334.899999999994</v>
      </c>
      <c r="E804">
        <v>0.3</v>
      </c>
      <c r="F804">
        <v>25.15</v>
      </c>
      <c r="G804">
        <v>8.4000000000000005E-2</v>
      </c>
      <c r="H804" t="s">
        <v>357</v>
      </c>
      <c r="I804">
        <v>0.3</v>
      </c>
      <c r="J804">
        <v>262</v>
      </c>
      <c r="K804" t="s">
        <v>319</v>
      </c>
      <c r="L804" s="85"/>
      <c r="M804" s="85"/>
    </row>
    <row r="805" spans="1:13" x14ac:dyDescent="0.2">
      <c r="A805" t="s">
        <v>356</v>
      </c>
      <c r="B805" t="s">
        <v>231</v>
      </c>
      <c r="C805">
        <v>75</v>
      </c>
      <c r="D805">
        <v>15478</v>
      </c>
      <c r="E805">
        <v>1.2</v>
      </c>
      <c r="F805">
        <v>5</v>
      </c>
      <c r="G805">
        <v>5.8999999999999997E-2</v>
      </c>
      <c r="H805" t="s">
        <v>357</v>
      </c>
      <c r="I805">
        <v>1.2</v>
      </c>
      <c r="J805">
        <v>17</v>
      </c>
      <c r="K805" t="s">
        <v>319</v>
      </c>
      <c r="L805" s="85"/>
      <c r="M805" s="85"/>
    </row>
    <row r="806" spans="1:13" x14ac:dyDescent="0.2">
      <c r="A806" t="s">
        <v>356</v>
      </c>
      <c r="B806" t="s">
        <v>232</v>
      </c>
      <c r="C806">
        <v>111</v>
      </c>
      <c r="D806">
        <v>21053.5</v>
      </c>
      <c r="E806">
        <v>1.1000000000000001</v>
      </c>
      <c r="F806">
        <v>5.09</v>
      </c>
      <c r="G806">
        <v>5.5E-2</v>
      </c>
      <c r="H806" t="s">
        <v>357</v>
      </c>
      <c r="I806">
        <v>1.1000000000000001</v>
      </c>
      <c r="J806">
        <v>11</v>
      </c>
      <c r="K806" t="s">
        <v>319</v>
      </c>
      <c r="L806" s="85"/>
      <c r="M806" s="85"/>
    </row>
    <row r="807" spans="1:13" x14ac:dyDescent="0.2">
      <c r="A807" t="s">
        <v>356</v>
      </c>
      <c r="B807" t="s">
        <v>233</v>
      </c>
      <c r="C807">
        <v>118</v>
      </c>
      <c r="D807">
        <v>59172.3</v>
      </c>
      <c r="E807">
        <v>1.1000000000000001</v>
      </c>
      <c r="F807">
        <v>5.1100000000000003</v>
      </c>
      <c r="G807">
        <v>5.5E-2</v>
      </c>
      <c r="H807" t="s">
        <v>357</v>
      </c>
      <c r="I807">
        <v>1.1000000000000001</v>
      </c>
      <c r="J807">
        <v>108</v>
      </c>
      <c r="K807" t="s">
        <v>319</v>
      </c>
      <c r="L807" s="85"/>
      <c r="M807" s="85"/>
    </row>
    <row r="808" spans="1:13" x14ac:dyDescent="0.2">
      <c r="A808" t="s">
        <v>356</v>
      </c>
      <c r="B808" t="s">
        <v>234</v>
      </c>
      <c r="C808">
        <v>206</v>
      </c>
      <c r="D808">
        <v>46848.7</v>
      </c>
      <c r="E808">
        <v>1.4</v>
      </c>
      <c r="F808">
        <v>4.8600000000000003</v>
      </c>
      <c r="G808">
        <v>7.0999999999999994E-2</v>
      </c>
      <c r="H808" t="s">
        <v>357</v>
      </c>
      <c r="I808">
        <v>1.5</v>
      </c>
      <c r="J808">
        <v>442</v>
      </c>
      <c r="K808" t="s">
        <v>319</v>
      </c>
      <c r="L808" s="145">
        <v>0.24099999999999999</v>
      </c>
      <c r="M808" s="85">
        <f>F808*L808</f>
        <v>1.17126</v>
      </c>
    </row>
    <row r="809" spans="1:13" x14ac:dyDescent="0.2">
      <c r="A809" t="s">
        <v>356</v>
      </c>
      <c r="B809" t="s">
        <v>234</v>
      </c>
      <c r="C809">
        <v>207</v>
      </c>
      <c r="D809">
        <v>36569.4</v>
      </c>
      <c r="E809">
        <v>0.3</v>
      </c>
      <c r="F809">
        <v>4.9400000000000004</v>
      </c>
      <c r="G809">
        <v>1.4999999999999999E-2</v>
      </c>
      <c r="H809" t="s">
        <v>357</v>
      </c>
      <c r="I809">
        <v>0.3</v>
      </c>
      <c r="J809">
        <v>389</v>
      </c>
      <c r="K809" t="s">
        <v>319</v>
      </c>
      <c r="L809" s="145">
        <v>0.221</v>
      </c>
      <c r="M809" s="85">
        <f t="shared" ref="M809:M810" si="44">F809*L809</f>
        <v>1.0917400000000002</v>
      </c>
    </row>
    <row r="810" spans="1:13" x14ac:dyDescent="0.2">
      <c r="A810" t="s">
        <v>356</v>
      </c>
      <c r="B810" t="s">
        <v>234</v>
      </c>
      <c r="C810">
        <v>208</v>
      </c>
      <c r="D810">
        <v>92347.199999999997</v>
      </c>
      <c r="E810">
        <v>0.5</v>
      </c>
      <c r="F810">
        <v>4.9400000000000004</v>
      </c>
      <c r="G810">
        <v>2.5999999999999999E-2</v>
      </c>
      <c r="H810" t="s">
        <v>357</v>
      </c>
      <c r="I810">
        <v>0.5</v>
      </c>
      <c r="J810">
        <v>954</v>
      </c>
      <c r="K810" t="s">
        <v>319</v>
      </c>
      <c r="L810" s="145">
        <v>0.52400000000000002</v>
      </c>
      <c r="M810" s="85">
        <f t="shared" si="44"/>
        <v>2.5885600000000002</v>
      </c>
    </row>
    <row r="811" spans="1:13" x14ac:dyDescent="0.2">
      <c r="A811" t="s">
        <v>338</v>
      </c>
      <c r="L811" s="85"/>
      <c r="M811" s="85"/>
    </row>
    <row r="812" spans="1:13" x14ac:dyDescent="0.2">
      <c r="A812" t="s">
        <v>339</v>
      </c>
      <c r="B812" t="s">
        <v>362</v>
      </c>
      <c r="L812" s="85"/>
      <c r="M812" s="85"/>
    </row>
    <row r="813" spans="1:13" x14ac:dyDescent="0.2">
      <c r="A813" t="s">
        <v>341</v>
      </c>
      <c r="B813" t="s">
        <v>342</v>
      </c>
      <c r="C813" t="s">
        <v>343</v>
      </c>
      <c r="D813" t="s">
        <v>409</v>
      </c>
      <c r="L813" s="85"/>
      <c r="M813" s="85"/>
    </row>
    <row r="814" spans="1:13" x14ac:dyDescent="0.2">
      <c r="A814" t="s">
        <v>345</v>
      </c>
      <c r="L814" s="85"/>
      <c r="M814" s="85"/>
    </row>
    <row r="815" spans="1:13" x14ac:dyDescent="0.2">
      <c r="A815" t="s">
        <v>346</v>
      </c>
      <c r="L815" s="85"/>
      <c r="M815" s="85"/>
    </row>
    <row r="816" spans="1:13" x14ac:dyDescent="0.2">
      <c r="A816" t="s">
        <v>347</v>
      </c>
      <c r="B816" t="s">
        <v>348</v>
      </c>
      <c r="C816" t="s">
        <v>349</v>
      </c>
      <c r="D816" t="s">
        <v>350</v>
      </c>
      <c r="E816" t="s">
        <v>351</v>
      </c>
      <c r="F816" t="s">
        <v>352</v>
      </c>
      <c r="G816" t="s">
        <v>353</v>
      </c>
      <c r="H816" t="s">
        <v>314</v>
      </c>
      <c r="I816" t="s">
        <v>351</v>
      </c>
      <c r="J816" t="s">
        <v>354</v>
      </c>
      <c r="K816" t="s">
        <v>355</v>
      </c>
      <c r="L816" s="85" t="s">
        <v>423</v>
      </c>
      <c r="M816" s="85" t="s">
        <v>424</v>
      </c>
    </row>
    <row r="817" spans="1:13" x14ac:dyDescent="0.2">
      <c r="A817" t="s">
        <v>356</v>
      </c>
      <c r="B817" t="s">
        <v>2</v>
      </c>
      <c r="C817">
        <v>57</v>
      </c>
      <c r="D817">
        <v>321159</v>
      </c>
      <c r="E817">
        <v>0.6</v>
      </c>
      <c r="F817">
        <v>379.86</v>
      </c>
      <c r="G817">
        <v>2.7759999999999998</v>
      </c>
      <c r="H817" t="s">
        <v>357</v>
      </c>
      <c r="I817">
        <v>0.7</v>
      </c>
      <c r="J817">
        <v>42287</v>
      </c>
      <c r="K817" t="s">
        <v>319</v>
      </c>
      <c r="L817" s="85"/>
      <c r="M817" s="85"/>
    </row>
    <row r="818" spans="1:13" x14ac:dyDescent="0.2">
      <c r="A818" t="s">
        <v>356</v>
      </c>
      <c r="B818" t="s">
        <v>1</v>
      </c>
      <c r="C818">
        <v>27</v>
      </c>
      <c r="D818">
        <v>7464059.2999999998</v>
      </c>
      <c r="E818">
        <v>0</v>
      </c>
      <c r="F818">
        <v>378.89</v>
      </c>
      <c r="G818">
        <v>9.9000000000000005E-2</v>
      </c>
      <c r="H818" t="s">
        <v>357</v>
      </c>
      <c r="I818">
        <v>0</v>
      </c>
      <c r="J818">
        <v>10497</v>
      </c>
      <c r="K818" t="s">
        <v>319</v>
      </c>
      <c r="L818" s="85"/>
      <c r="M818" s="85"/>
    </row>
    <row r="819" spans="1:13" x14ac:dyDescent="0.2">
      <c r="A819" t="s">
        <v>356</v>
      </c>
      <c r="B819" t="s">
        <v>227</v>
      </c>
      <c r="C819">
        <v>53</v>
      </c>
      <c r="D819">
        <v>20624.900000000001</v>
      </c>
      <c r="E819">
        <v>1</v>
      </c>
      <c r="F819">
        <v>7.64</v>
      </c>
      <c r="G819">
        <v>7.6999999999999999E-2</v>
      </c>
      <c r="H819" t="s">
        <v>357</v>
      </c>
      <c r="I819">
        <v>1</v>
      </c>
      <c r="J819">
        <v>325</v>
      </c>
      <c r="K819" t="s">
        <v>319</v>
      </c>
      <c r="L819" s="85"/>
      <c r="M819" s="85"/>
    </row>
    <row r="820" spans="1:13" x14ac:dyDescent="0.2">
      <c r="A820" t="s">
        <v>356</v>
      </c>
      <c r="B820" t="s">
        <v>228</v>
      </c>
      <c r="C820">
        <v>55</v>
      </c>
      <c r="D820">
        <v>1349403.8</v>
      </c>
      <c r="E820">
        <v>1.3</v>
      </c>
      <c r="F820">
        <v>37.74</v>
      </c>
      <c r="G820">
        <v>0.501</v>
      </c>
      <c r="H820" t="s">
        <v>357</v>
      </c>
      <c r="I820">
        <v>1.3</v>
      </c>
      <c r="J820">
        <v>1037</v>
      </c>
      <c r="K820" t="s">
        <v>319</v>
      </c>
      <c r="L820" s="85"/>
      <c r="M820" s="85"/>
    </row>
    <row r="821" spans="1:13" x14ac:dyDescent="0.2">
      <c r="A821" t="s">
        <v>356</v>
      </c>
      <c r="B821" t="s">
        <v>229</v>
      </c>
      <c r="C821">
        <v>63</v>
      </c>
      <c r="D821">
        <v>525324.19999999995</v>
      </c>
      <c r="E821">
        <v>1.2</v>
      </c>
      <c r="F821">
        <v>37.89</v>
      </c>
      <c r="G821">
        <v>0.437</v>
      </c>
      <c r="H821" t="s">
        <v>357</v>
      </c>
      <c r="I821">
        <v>1.2</v>
      </c>
      <c r="J821">
        <v>938</v>
      </c>
      <c r="K821" t="s">
        <v>319</v>
      </c>
      <c r="L821" s="85"/>
      <c r="M821" s="85"/>
    </row>
    <row r="822" spans="1:13" x14ac:dyDescent="0.2">
      <c r="A822" t="s">
        <v>356</v>
      </c>
      <c r="B822" t="s">
        <v>230</v>
      </c>
      <c r="C822">
        <v>66</v>
      </c>
      <c r="D822">
        <v>122949.8</v>
      </c>
      <c r="E822">
        <v>1</v>
      </c>
      <c r="F822">
        <v>37.39</v>
      </c>
      <c r="G822">
        <v>0.36699999999999999</v>
      </c>
      <c r="H822" t="s">
        <v>357</v>
      </c>
      <c r="I822">
        <v>1</v>
      </c>
      <c r="J822">
        <v>262</v>
      </c>
      <c r="K822" t="s">
        <v>319</v>
      </c>
      <c r="L822" s="85"/>
      <c r="M822" s="85"/>
    </row>
    <row r="823" spans="1:13" x14ac:dyDescent="0.2">
      <c r="A823" t="s">
        <v>356</v>
      </c>
      <c r="B823" t="s">
        <v>231</v>
      </c>
      <c r="C823">
        <v>75</v>
      </c>
      <c r="D823">
        <v>22964.799999999999</v>
      </c>
      <c r="E823">
        <v>0.7</v>
      </c>
      <c r="F823">
        <v>7.36</v>
      </c>
      <c r="G823">
        <v>4.9000000000000002E-2</v>
      </c>
      <c r="H823" t="s">
        <v>357</v>
      </c>
      <c r="I823">
        <v>0.7</v>
      </c>
      <c r="J823">
        <v>17</v>
      </c>
      <c r="K823" t="s">
        <v>319</v>
      </c>
      <c r="L823" s="85"/>
      <c r="M823" s="85"/>
    </row>
    <row r="824" spans="1:13" x14ac:dyDescent="0.2">
      <c r="A824" t="s">
        <v>356</v>
      </c>
      <c r="B824" t="s">
        <v>232</v>
      </c>
      <c r="C824">
        <v>111</v>
      </c>
      <c r="D824">
        <v>31284.9</v>
      </c>
      <c r="E824">
        <v>1.3</v>
      </c>
      <c r="F824">
        <v>7.52</v>
      </c>
      <c r="G824">
        <v>0.1</v>
      </c>
      <c r="H824" t="s">
        <v>357</v>
      </c>
      <c r="I824">
        <v>1.3</v>
      </c>
      <c r="J824">
        <v>11</v>
      </c>
      <c r="K824" t="s">
        <v>319</v>
      </c>
      <c r="L824" s="85"/>
      <c r="M824" s="85"/>
    </row>
    <row r="825" spans="1:13" x14ac:dyDescent="0.2">
      <c r="A825" t="s">
        <v>356</v>
      </c>
      <c r="B825" t="s">
        <v>233</v>
      </c>
      <c r="C825">
        <v>118</v>
      </c>
      <c r="D825">
        <v>89074.8</v>
      </c>
      <c r="E825">
        <v>0.7</v>
      </c>
      <c r="F825">
        <v>7.63</v>
      </c>
      <c r="G825">
        <v>5.6000000000000001E-2</v>
      </c>
      <c r="H825" t="s">
        <v>357</v>
      </c>
      <c r="I825">
        <v>0.7</v>
      </c>
      <c r="J825">
        <v>108</v>
      </c>
      <c r="K825" t="s">
        <v>319</v>
      </c>
      <c r="L825" s="85"/>
      <c r="M825" s="85"/>
    </row>
    <row r="826" spans="1:13" x14ac:dyDescent="0.2">
      <c r="A826" t="s">
        <v>356</v>
      </c>
      <c r="B826" t="s">
        <v>234</v>
      </c>
      <c r="C826">
        <v>206</v>
      </c>
      <c r="D826">
        <v>70139.8</v>
      </c>
      <c r="E826">
        <v>0.7</v>
      </c>
      <c r="F826">
        <v>7.36</v>
      </c>
      <c r="G826">
        <v>4.9000000000000002E-2</v>
      </c>
      <c r="H826" t="s">
        <v>357</v>
      </c>
      <c r="I826">
        <v>0.7</v>
      </c>
      <c r="J826">
        <v>442</v>
      </c>
      <c r="K826" t="s">
        <v>319</v>
      </c>
      <c r="L826" s="145">
        <v>0.24099999999999999</v>
      </c>
      <c r="M826" s="85">
        <f>F826*L826</f>
        <v>1.77376</v>
      </c>
    </row>
    <row r="827" spans="1:13" x14ac:dyDescent="0.2">
      <c r="A827" t="s">
        <v>356</v>
      </c>
      <c r="B827" t="s">
        <v>234</v>
      </c>
      <c r="C827">
        <v>207</v>
      </c>
      <c r="D827">
        <v>54441.9</v>
      </c>
      <c r="E827">
        <v>0.1</v>
      </c>
      <c r="F827">
        <v>7.42</v>
      </c>
      <c r="G827">
        <v>8.9999999999999993E-3</v>
      </c>
      <c r="H827" t="s">
        <v>357</v>
      </c>
      <c r="I827">
        <v>0.1</v>
      </c>
      <c r="J827">
        <v>389</v>
      </c>
      <c r="K827" t="s">
        <v>319</v>
      </c>
      <c r="L827" s="145">
        <v>0.221</v>
      </c>
      <c r="M827" s="85">
        <f t="shared" ref="M827:M828" si="45">F827*L827</f>
        <v>1.6398200000000001</v>
      </c>
    </row>
    <row r="828" spans="1:13" x14ac:dyDescent="0.2">
      <c r="A828" t="s">
        <v>356</v>
      </c>
      <c r="B828" t="s">
        <v>234</v>
      </c>
      <c r="C828">
        <v>208</v>
      </c>
      <c r="D828">
        <v>136686.1</v>
      </c>
      <c r="E828">
        <v>0.1</v>
      </c>
      <c r="F828">
        <v>7.38</v>
      </c>
      <c r="G828">
        <v>5.0000000000000001E-3</v>
      </c>
      <c r="H828" t="s">
        <v>357</v>
      </c>
      <c r="I828">
        <v>0.1</v>
      </c>
      <c r="J828">
        <v>954</v>
      </c>
      <c r="K828" t="s">
        <v>319</v>
      </c>
      <c r="L828" s="145">
        <v>0.52400000000000002</v>
      </c>
      <c r="M828" s="85">
        <f t="shared" si="45"/>
        <v>3.8671199999999999</v>
      </c>
    </row>
    <row r="829" spans="1:13" x14ac:dyDescent="0.2">
      <c r="A829" t="s">
        <v>338</v>
      </c>
      <c r="L829" s="85"/>
      <c r="M829" s="85"/>
    </row>
    <row r="830" spans="1:13" x14ac:dyDescent="0.2">
      <c r="A830" t="s">
        <v>339</v>
      </c>
      <c r="B830" t="s">
        <v>364</v>
      </c>
      <c r="L830" s="85"/>
      <c r="M830" s="85"/>
    </row>
    <row r="831" spans="1:13" x14ac:dyDescent="0.2">
      <c r="A831" t="s">
        <v>341</v>
      </c>
      <c r="B831" t="s">
        <v>342</v>
      </c>
      <c r="C831" t="s">
        <v>343</v>
      </c>
      <c r="D831" t="s">
        <v>410</v>
      </c>
      <c r="L831" s="85"/>
      <c r="M831" s="85"/>
    </row>
    <row r="832" spans="1:13" x14ac:dyDescent="0.2">
      <c r="A832" t="s">
        <v>345</v>
      </c>
      <c r="L832" s="85"/>
      <c r="M832" s="85"/>
    </row>
    <row r="833" spans="1:13" x14ac:dyDescent="0.2">
      <c r="A833" t="s">
        <v>346</v>
      </c>
      <c r="L833" s="85"/>
      <c r="M833" s="85"/>
    </row>
    <row r="834" spans="1:13" x14ac:dyDescent="0.2">
      <c r="A834" t="s">
        <v>347</v>
      </c>
      <c r="B834" t="s">
        <v>348</v>
      </c>
      <c r="C834" t="s">
        <v>349</v>
      </c>
      <c r="D834" t="s">
        <v>350</v>
      </c>
      <c r="E834" t="s">
        <v>351</v>
      </c>
      <c r="F834" t="s">
        <v>352</v>
      </c>
      <c r="G834" t="s">
        <v>353</v>
      </c>
      <c r="H834" t="s">
        <v>314</v>
      </c>
      <c r="I834" t="s">
        <v>351</v>
      </c>
      <c r="J834" t="s">
        <v>354</v>
      </c>
      <c r="K834" t="s">
        <v>355</v>
      </c>
      <c r="L834" s="85" t="s">
        <v>423</v>
      </c>
      <c r="M834" s="85" t="s">
        <v>424</v>
      </c>
    </row>
    <row r="835" spans="1:13" x14ac:dyDescent="0.2">
      <c r="A835" t="s">
        <v>356</v>
      </c>
      <c r="B835" t="s">
        <v>2</v>
      </c>
      <c r="C835">
        <v>57</v>
      </c>
      <c r="D835">
        <v>412473.3</v>
      </c>
      <c r="E835">
        <v>0.2</v>
      </c>
      <c r="F835">
        <v>499.71</v>
      </c>
      <c r="G835">
        <v>1.2609999999999999</v>
      </c>
      <c r="H835" t="s">
        <v>357</v>
      </c>
      <c r="I835">
        <v>0.3</v>
      </c>
      <c r="J835">
        <v>42287</v>
      </c>
      <c r="K835" t="s">
        <v>319</v>
      </c>
      <c r="L835" s="85"/>
      <c r="M835" s="85"/>
    </row>
    <row r="836" spans="1:13" x14ac:dyDescent="0.2">
      <c r="A836" t="s">
        <v>356</v>
      </c>
      <c r="B836" t="s">
        <v>1</v>
      </c>
      <c r="C836">
        <v>27</v>
      </c>
      <c r="D836">
        <v>9949180.6999999993</v>
      </c>
      <c r="E836">
        <v>0.4</v>
      </c>
      <c r="F836">
        <v>498.31</v>
      </c>
      <c r="G836">
        <v>1.946</v>
      </c>
      <c r="H836" t="s">
        <v>357</v>
      </c>
      <c r="I836">
        <v>0.4</v>
      </c>
      <c r="J836">
        <v>10497</v>
      </c>
      <c r="K836" t="s">
        <v>319</v>
      </c>
      <c r="L836" s="85"/>
      <c r="M836" s="85"/>
    </row>
    <row r="837" spans="1:13" x14ac:dyDescent="0.2">
      <c r="A837" t="s">
        <v>356</v>
      </c>
      <c r="B837" t="s">
        <v>227</v>
      </c>
      <c r="C837">
        <v>53</v>
      </c>
      <c r="D837">
        <v>26863.599999999999</v>
      </c>
      <c r="E837">
        <v>0.7</v>
      </c>
      <c r="F837">
        <v>9.89</v>
      </c>
      <c r="G837">
        <v>7.1999999999999995E-2</v>
      </c>
      <c r="H837" t="s">
        <v>357</v>
      </c>
      <c r="I837">
        <v>0.7</v>
      </c>
      <c r="J837">
        <v>325</v>
      </c>
      <c r="K837" t="s">
        <v>319</v>
      </c>
      <c r="L837" s="85"/>
      <c r="M837" s="85"/>
    </row>
    <row r="838" spans="1:13" x14ac:dyDescent="0.2">
      <c r="A838" t="s">
        <v>356</v>
      </c>
      <c r="B838" t="s">
        <v>228</v>
      </c>
      <c r="C838">
        <v>55</v>
      </c>
      <c r="D838">
        <v>1804736.8</v>
      </c>
      <c r="E838">
        <v>0.4</v>
      </c>
      <c r="F838">
        <v>50.11</v>
      </c>
      <c r="G838">
        <v>0.21099999999999999</v>
      </c>
      <c r="H838" t="s">
        <v>357</v>
      </c>
      <c r="I838">
        <v>0.4</v>
      </c>
      <c r="J838">
        <v>1037</v>
      </c>
      <c r="K838" t="s">
        <v>319</v>
      </c>
      <c r="L838" s="85"/>
      <c r="M838" s="85"/>
    </row>
    <row r="839" spans="1:13" x14ac:dyDescent="0.2">
      <c r="A839" t="s">
        <v>356</v>
      </c>
      <c r="B839" t="s">
        <v>229</v>
      </c>
      <c r="C839">
        <v>63</v>
      </c>
      <c r="D839">
        <v>700416.5</v>
      </c>
      <c r="E839">
        <v>1.1000000000000001</v>
      </c>
      <c r="F839">
        <v>50.14</v>
      </c>
      <c r="G839">
        <v>0.54400000000000004</v>
      </c>
      <c r="H839" t="s">
        <v>357</v>
      </c>
      <c r="I839">
        <v>1.1000000000000001</v>
      </c>
      <c r="J839">
        <v>938</v>
      </c>
      <c r="K839" t="s">
        <v>319</v>
      </c>
      <c r="L839" s="85"/>
      <c r="M839" s="85"/>
    </row>
    <row r="840" spans="1:13" x14ac:dyDescent="0.2">
      <c r="A840" t="s">
        <v>356</v>
      </c>
      <c r="B840" t="s">
        <v>230</v>
      </c>
      <c r="C840">
        <v>66</v>
      </c>
      <c r="D840">
        <v>166337.5</v>
      </c>
      <c r="E840">
        <v>0.7</v>
      </c>
      <c r="F840">
        <v>50.26</v>
      </c>
      <c r="G840">
        <v>0.34599999999999997</v>
      </c>
      <c r="H840" t="s">
        <v>357</v>
      </c>
      <c r="I840">
        <v>0.7</v>
      </c>
      <c r="J840">
        <v>262</v>
      </c>
      <c r="K840" t="s">
        <v>319</v>
      </c>
      <c r="L840" s="85"/>
      <c r="M840" s="85"/>
    </row>
    <row r="841" spans="1:13" x14ac:dyDescent="0.2">
      <c r="A841" t="s">
        <v>356</v>
      </c>
      <c r="B841" t="s">
        <v>231</v>
      </c>
      <c r="C841">
        <v>75</v>
      </c>
      <c r="D841">
        <v>32136.400000000001</v>
      </c>
      <c r="E841">
        <v>1.7</v>
      </c>
      <c r="F841">
        <v>10.19</v>
      </c>
      <c r="G841">
        <v>0.17699999999999999</v>
      </c>
      <c r="H841" t="s">
        <v>357</v>
      </c>
      <c r="I841">
        <v>1.7</v>
      </c>
      <c r="J841">
        <v>17</v>
      </c>
      <c r="K841" t="s">
        <v>319</v>
      </c>
      <c r="L841" s="85"/>
      <c r="M841" s="85"/>
    </row>
    <row r="842" spans="1:13" x14ac:dyDescent="0.2">
      <c r="A842" t="s">
        <v>356</v>
      </c>
      <c r="B842" t="s">
        <v>232</v>
      </c>
      <c r="C842">
        <v>111</v>
      </c>
      <c r="D842">
        <v>41678.699999999997</v>
      </c>
      <c r="E842">
        <v>0.4</v>
      </c>
      <c r="F842">
        <v>10</v>
      </c>
      <c r="G842">
        <v>4.2999999999999997E-2</v>
      </c>
      <c r="H842" t="s">
        <v>357</v>
      </c>
      <c r="I842">
        <v>0.4</v>
      </c>
      <c r="J842">
        <v>11</v>
      </c>
      <c r="K842" t="s">
        <v>319</v>
      </c>
      <c r="L842" s="85"/>
      <c r="M842" s="85"/>
    </row>
    <row r="843" spans="1:13" x14ac:dyDescent="0.2">
      <c r="A843" t="s">
        <v>356</v>
      </c>
      <c r="B843" t="s">
        <v>233</v>
      </c>
      <c r="C843">
        <v>118</v>
      </c>
      <c r="D843">
        <v>116277</v>
      </c>
      <c r="E843">
        <v>0.4</v>
      </c>
      <c r="F843">
        <v>9.92</v>
      </c>
      <c r="G843">
        <v>3.5999999999999997E-2</v>
      </c>
      <c r="H843" t="s">
        <v>357</v>
      </c>
      <c r="I843">
        <v>0.4</v>
      </c>
      <c r="J843">
        <v>108</v>
      </c>
      <c r="K843" t="s">
        <v>319</v>
      </c>
      <c r="L843" s="85"/>
      <c r="M843" s="85"/>
    </row>
    <row r="844" spans="1:13" x14ac:dyDescent="0.2">
      <c r="A844" t="s">
        <v>356</v>
      </c>
      <c r="B844" t="s">
        <v>234</v>
      </c>
      <c r="C844">
        <v>206</v>
      </c>
      <c r="D844">
        <v>93829.1</v>
      </c>
      <c r="E844">
        <v>0.6</v>
      </c>
      <c r="F844">
        <v>10.029999999999999</v>
      </c>
      <c r="G844">
        <v>5.6000000000000001E-2</v>
      </c>
      <c r="H844" t="s">
        <v>357</v>
      </c>
      <c r="I844">
        <v>0.6</v>
      </c>
      <c r="J844">
        <v>442</v>
      </c>
      <c r="K844" t="s">
        <v>319</v>
      </c>
      <c r="L844" s="145">
        <v>0.24099999999999999</v>
      </c>
      <c r="M844" s="85">
        <f>F844*L844</f>
        <v>2.4172299999999995</v>
      </c>
    </row>
    <row r="845" spans="1:13" x14ac:dyDescent="0.2">
      <c r="A845" t="s">
        <v>356</v>
      </c>
      <c r="B845" t="s">
        <v>234</v>
      </c>
      <c r="C845">
        <v>207</v>
      </c>
      <c r="D845">
        <v>72073</v>
      </c>
      <c r="E845">
        <v>0.8</v>
      </c>
      <c r="F845">
        <v>9.98</v>
      </c>
      <c r="G845">
        <v>8.4000000000000005E-2</v>
      </c>
      <c r="H845" t="s">
        <v>357</v>
      </c>
      <c r="I845">
        <v>0.8</v>
      </c>
      <c r="J845">
        <v>389</v>
      </c>
      <c r="K845" t="s">
        <v>319</v>
      </c>
      <c r="L845" s="145">
        <v>0.221</v>
      </c>
      <c r="M845" s="85">
        <f t="shared" ref="M845:M846" si="46">F845*L845</f>
        <v>2.2055800000000003</v>
      </c>
    </row>
    <row r="846" spans="1:13" x14ac:dyDescent="0.2">
      <c r="A846" t="s">
        <v>356</v>
      </c>
      <c r="B846" t="s">
        <v>234</v>
      </c>
      <c r="C846">
        <v>208</v>
      </c>
      <c r="D846">
        <v>180070.8</v>
      </c>
      <c r="E846">
        <v>0.2</v>
      </c>
      <c r="F846">
        <v>9.94</v>
      </c>
      <c r="G846">
        <v>1.9E-2</v>
      </c>
      <c r="H846" t="s">
        <v>357</v>
      </c>
      <c r="I846">
        <v>0.2</v>
      </c>
      <c r="J846">
        <v>954</v>
      </c>
      <c r="K846" t="s">
        <v>319</v>
      </c>
      <c r="L846" s="145">
        <v>0.52400000000000002</v>
      </c>
      <c r="M846" s="85">
        <f t="shared" si="46"/>
        <v>5.2085600000000003</v>
      </c>
    </row>
    <row r="847" spans="1:13" x14ac:dyDescent="0.2">
      <c r="A847" t="s">
        <v>338</v>
      </c>
      <c r="L847" s="85"/>
      <c r="M847" s="85"/>
    </row>
    <row r="848" spans="1:13" x14ac:dyDescent="0.2">
      <c r="A848" t="s">
        <v>339</v>
      </c>
      <c r="B848" t="s">
        <v>411</v>
      </c>
      <c r="L848" s="85"/>
      <c r="M848" s="85"/>
    </row>
    <row r="849" spans="1:13" x14ac:dyDescent="0.2">
      <c r="A849" t="s">
        <v>341</v>
      </c>
      <c r="B849" t="s">
        <v>342</v>
      </c>
      <c r="C849" t="s">
        <v>343</v>
      </c>
      <c r="D849" t="s">
        <v>412</v>
      </c>
      <c r="L849" s="85"/>
      <c r="M849" s="85"/>
    </row>
    <row r="850" spans="1:13" x14ac:dyDescent="0.2">
      <c r="A850" t="s">
        <v>345</v>
      </c>
      <c r="L850" s="85"/>
      <c r="M850" s="85"/>
    </row>
    <row r="851" spans="1:13" x14ac:dyDescent="0.2">
      <c r="A851" t="s">
        <v>346</v>
      </c>
      <c r="L851" s="85"/>
      <c r="M851" s="85"/>
    </row>
    <row r="852" spans="1:13" x14ac:dyDescent="0.2">
      <c r="A852" t="s">
        <v>347</v>
      </c>
      <c r="B852" t="s">
        <v>348</v>
      </c>
      <c r="C852" t="s">
        <v>349</v>
      </c>
      <c r="D852" t="s">
        <v>350</v>
      </c>
      <c r="E852" t="s">
        <v>351</v>
      </c>
      <c r="F852" t="s">
        <v>352</v>
      </c>
      <c r="G852" t="s">
        <v>353</v>
      </c>
      <c r="H852" t="s">
        <v>314</v>
      </c>
      <c r="I852" t="s">
        <v>351</v>
      </c>
      <c r="J852" t="s">
        <v>354</v>
      </c>
      <c r="K852" t="s">
        <v>355</v>
      </c>
      <c r="L852" s="85" t="s">
        <v>423</v>
      </c>
      <c r="M852" s="85" t="s">
        <v>424</v>
      </c>
    </row>
    <row r="853" spans="1:13" x14ac:dyDescent="0.2">
      <c r="A853" t="s">
        <v>356</v>
      </c>
      <c r="B853" t="s">
        <v>2</v>
      </c>
      <c r="C853">
        <v>57</v>
      </c>
      <c r="D853">
        <v>43280.800000000003</v>
      </c>
      <c r="E853">
        <v>1</v>
      </c>
      <c r="F853">
        <v>1.34</v>
      </c>
      <c r="G853">
        <v>0.59099999999999997</v>
      </c>
      <c r="H853" t="s">
        <v>357</v>
      </c>
      <c r="I853">
        <v>44</v>
      </c>
      <c r="J853">
        <v>42287</v>
      </c>
      <c r="K853" t="s">
        <v>319</v>
      </c>
      <c r="L853" s="85"/>
      <c r="M853" s="85"/>
    </row>
    <row r="854" spans="1:13" x14ac:dyDescent="0.2">
      <c r="A854" t="s">
        <v>356</v>
      </c>
      <c r="B854" t="s">
        <v>1</v>
      </c>
      <c r="C854">
        <v>27</v>
      </c>
      <c r="D854">
        <v>40823.9</v>
      </c>
      <c r="E854">
        <v>2.5</v>
      </c>
      <c r="F854">
        <v>1.52</v>
      </c>
      <c r="G854">
        <v>0.05</v>
      </c>
      <c r="H854" t="s">
        <v>357</v>
      </c>
      <c r="I854">
        <v>3.3</v>
      </c>
      <c r="J854">
        <v>10497</v>
      </c>
      <c r="K854" t="s">
        <v>319</v>
      </c>
      <c r="L854" s="85"/>
      <c r="M854" s="85"/>
    </row>
    <row r="855" spans="1:13" x14ac:dyDescent="0.2">
      <c r="A855" t="s">
        <v>356</v>
      </c>
      <c r="B855" t="s">
        <v>227</v>
      </c>
      <c r="C855">
        <v>53</v>
      </c>
      <c r="D855">
        <v>344.7</v>
      </c>
      <c r="E855">
        <v>7.7</v>
      </c>
      <c r="F855">
        <v>0.01</v>
      </c>
      <c r="G855">
        <v>0.01</v>
      </c>
      <c r="H855" t="s">
        <v>357</v>
      </c>
      <c r="I855">
        <v>133.30000000000001</v>
      </c>
      <c r="J855">
        <v>325</v>
      </c>
      <c r="K855" t="s">
        <v>319</v>
      </c>
      <c r="L855" s="85"/>
      <c r="M855" s="85"/>
    </row>
    <row r="856" spans="1:13" x14ac:dyDescent="0.2">
      <c r="A856" t="s">
        <v>356</v>
      </c>
      <c r="B856" t="s">
        <v>228</v>
      </c>
      <c r="C856">
        <v>55</v>
      </c>
      <c r="D856">
        <v>1715.4</v>
      </c>
      <c r="E856">
        <v>12.8</v>
      </c>
      <c r="F856">
        <v>0.02</v>
      </c>
      <c r="G856">
        <v>6.0000000000000001E-3</v>
      </c>
      <c r="H856" t="s">
        <v>357</v>
      </c>
      <c r="I856">
        <v>32.299999999999997</v>
      </c>
      <c r="J856">
        <v>1037</v>
      </c>
      <c r="K856" t="s">
        <v>319</v>
      </c>
      <c r="L856" s="85"/>
      <c r="M856" s="85"/>
    </row>
    <row r="857" spans="1:13" x14ac:dyDescent="0.2">
      <c r="A857" t="s">
        <v>356</v>
      </c>
      <c r="B857" t="s">
        <v>229</v>
      </c>
      <c r="C857">
        <v>63</v>
      </c>
      <c r="D857">
        <v>1206.4000000000001</v>
      </c>
      <c r="E857">
        <v>6.6</v>
      </c>
      <c r="F857">
        <v>0.02</v>
      </c>
      <c r="G857">
        <v>6.0000000000000001E-3</v>
      </c>
      <c r="H857" t="s">
        <v>357</v>
      </c>
      <c r="I857">
        <v>29.7</v>
      </c>
      <c r="J857">
        <v>938</v>
      </c>
      <c r="K857" t="s">
        <v>319</v>
      </c>
      <c r="L857" s="85"/>
      <c r="M857" s="85"/>
    </row>
    <row r="858" spans="1:13" x14ac:dyDescent="0.2">
      <c r="A858" t="s">
        <v>356</v>
      </c>
      <c r="B858" t="s">
        <v>230</v>
      </c>
      <c r="C858">
        <v>66</v>
      </c>
      <c r="D858">
        <v>933</v>
      </c>
      <c r="E858">
        <v>4.5</v>
      </c>
      <c r="F858">
        <v>0.2</v>
      </c>
      <c r="G858">
        <v>1.2999999999999999E-2</v>
      </c>
      <c r="H858" t="s">
        <v>357</v>
      </c>
      <c r="I858">
        <v>6.2</v>
      </c>
      <c r="J858">
        <v>262</v>
      </c>
      <c r="K858" t="s">
        <v>319</v>
      </c>
      <c r="L858" s="85"/>
      <c r="M858" s="85"/>
    </row>
    <row r="859" spans="1:13" x14ac:dyDescent="0.2">
      <c r="A859" t="s">
        <v>356</v>
      </c>
      <c r="B859" t="s">
        <v>231</v>
      </c>
      <c r="C859">
        <v>75</v>
      </c>
      <c r="D859">
        <v>38.700000000000003</v>
      </c>
      <c r="E859">
        <v>27.9</v>
      </c>
      <c r="F859">
        <v>0.01</v>
      </c>
      <c r="G859">
        <v>3.0000000000000001E-3</v>
      </c>
      <c r="H859" t="s">
        <v>357</v>
      </c>
      <c r="I859">
        <v>49.8</v>
      </c>
      <c r="J859">
        <v>17</v>
      </c>
      <c r="K859" t="s">
        <v>319</v>
      </c>
      <c r="L859" s="85"/>
      <c r="M859" s="85"/>
    </row>
    <row r="860" spans="1:13" x14ac:dyDescent="0.2">
      <c r="A860" t="s">
        <v>356</v>
      </c>
      <c r="B860" t="s">
        <v>232</v>
      </c>
      <c r="C860">
        <v>111</v>
      </c>
      <c r="D860">
        <v>53.3</v>
      </c>
      <c r="E860">
        <v>6</v>
      </c>
      <c r="F860">
        <v>0.01</v>
      </c>
      <c r="G860">
        <v>1E-3</v>
      </c>
      <c r="H860" t="s">
        <v>357</v>
      </c>
      <c r="I860">
        <v>7.5</v>
      </c>
      <c r="J860">
        <v>11</v>
      </c>
      <c r="K860" t="s">
        <v>319</v>
      </c>
      <c r="L860" s="85"/>
      <c r="M860" s="85"/>
    </row>
    <row r="861" spans="1:13" x14ac:dyDescent="0.2">
      <c r="A861" t="s">
        <v>356</v>
      </c>
      <c r="B861" t="s">
        <v>233</v>
      </c>
      <c r="C861">
        <v>118</v>
      </c>
      <c r="D861">
        <v>300</v>
      </c>
      <c r="E861">
        <v>17.100000000000001</v>
      </c>
      <c r="F861">
        <v>0.02</v>
      </c>
      <c r="G861">
        <v>4.0000000000000001E-3</v>
      </c>
      <c r="H861" t="s">
        <v>357</v>
      </c>
      <c r="I861">
        <v>26.7</v>
      </c>
      <c r="J861">
        <v>108</v>
      </c>
      <c r="K861" t="s">
        <v>319</v>
      </c>
      <c r="L861" s="85"/>
      <c r="M861" s="85"/>
    </row>
    <row r="862" spans="1:13" x14ac:dyDescent="0.2">
      <c r="A862" t="s">
        <v>356</v>
      </c>
      <c r="B862" t="s">
        <v>234</v>
      </c>
      <c r="C862">
        <v>206</v>
      </c>
      <c r="D862">
        <v>774.7</v>
      </c>
      <c r="E862">
        <v>2.9</v>
      </c>
      <c r="F862">
        <v>0.04</v>
      </c>
      <c r="G862">
        <v>2E-3</v>
      </c>
      <c r="H862" t="s">
        <v>357</v>
      </c>
      <c r="I862">
        <v>6.6</v>
      </c>
      <c r="J862">
        <v>442</v>
      </c>
      <c r="K862" t="s">
        <v>319</v>
      </c>
      <c r="L862" s="145">
        <v>0.24099999999999999</v>
      </c>
      <c r="M862" s="85">
        <f>F862*L862</f>
        <v>9.6399999999999993E-3</v>
      </c>
    </row>
    <row r="863" spans="1:13" x14ac:dyDescent="0.2">
      <c r="A863" t="s">
        <v>356</v>
      </c>
      <c r="B863" t="s">
        <v>234</v>
      </c>
      <c r="C863">
        <v>207</v>
      </c>
      <c r="D863">
        <v>678</v>
      </c>
      <c r="E863">
        <v>7.7</v>
      </c>
      <c r="F863">
        <v>0.04</v>
      </c>
      <c r="G863">
        <v>7.0000000000000001E-3</v>
      </c>
      <c r="H863" t="s">
        <v>357</v>
      </c>
      <c r="I863">
        <v>18.100000000000001</v>
      </c>
      <c r="J863">
        <v>389</v>
      </c>
      <c r="K863" t="s">
        <v>319</v>
      </c>
      <c r="L863" s="145">
        <v>0.221</v>
      </c>
      <c r="M863" s="85">
        <f t="shared" ref="M863:M864" si="47">F863*L863</f>
        <v>8.8400000000000006E-3</v>
      </c>
    </row>
    <row r="864" spans="1:13" x14ac:dyDescent="0.2">
      <c r="A864" t="s">
        <v>356</v>
      </c>
      <c r="B864" t="s">
        <v>234</v>
      </c>
      <c r="C864">
        <v>208</v>
      </c>
      <c r="D864">
        <v>1643.4</v>
      </c>
      <c r="E864">
        <v>5.7</v>
      </c>
      <c r="F864">
        <v>0.04</v>
      </c>
      <c r="G864">
        <v>5.0000000000000001E-3</v>
      </c>
      <c r="H864" t="s">
        <v>357</v>
      </c>
      <c r="I864">
        <v>13.5</v>
      </c>
      <c r="J864">
        <v>954</v>
      </c>
      <c r="K864" t="s">
        <v>319</v>
      </c>
      <c r="L864" s="145">
        <v>0.52400000000000002</v>
      </c>
      <c r="M864" s="85">
        <f t="shared" si="47"/>
        <v>2.0960000000000003E-2</v>
      </c>
    </row>
    <row r="865" spans="1:13" x14ac:dyDescent="0.2">
      <c r="A865" t="s">
        <v>338</v>
      </c>
      <c r="L865" s="85"/>
    </row>
    <row r="866" spans="1:13" x14ac:dyDescent="0.2">
      <c r="A866" t="s">
        <v>339</v>
      </c>
      <c r="B866" t="s">
        <v>413</v>
      </c>
      <c r="L866" s="85"/>
    </row>
    <row r="867" spans="1:13" x14ac:dyDescent="0.2">
      <c r="A867" t="s">
        <v>341</v>
      </c>
      <c r="B867" t="s">
        <v>342</v>
      </c>
      <c r="C867" t="s">
        <v>343</v>
      </c>
      <c r="D867" t="s">
        <v>414</v>
      </c>
      <c r="L867" s="85"/>
    </row>
    <row r="868" spans="1:13" x14ac:dyDescent="0.2">
      <c r="A868" t="s">
        <v>345</v>
      </c>
      <c r="L868" s="85"/>
    </row>
    <row r="869" spans="1:13" x14ac:dyDescent="0.2">
      <c r="A869" t="s">
        <v>346</v>
      </c>
      <c r="L869" s="85"/>
    </row>
    <row r="870" spans="1:13" x14ac:dyDescent="0.2">
      <c r="A870" t="s">
        <v>347</v>
      </c>
      <c r="B870" t="s">
        <v>348</v>
      </c>
      <c r="C870" t="s">
        <v>349</v>
      </c>
      <c r="D870" t="s">
        <v>350</v>
      </c>
      <c r="E870" t="s">
        <v>351</v>
      </c>
      <c r="F870" t="s">
        <v>352</v>
      </c>
      <c r="G870" t="s">
        <v>353</v>
      </c>
      <c r="H870" t="s">
        <v>314</v>
      </c>
      <c r="I870" t="s">
        <v>351</v>
      </c>
      <c r="J870" t="s">
        <v>354</v>
      </c>
      <c r="K870" t="s">
        <v>355</v>
      </c>
      <c r="L870" s="85" t="s">
        <v>423</v>
      </c>
      <c r="M870" s="85" t="s">
        <v>424</v>
      </c>
    </row>
    <row r="871" spans="1:13" x14ac:dyDescent="0.2">
      <c r="A871" t="s">
        <v>356</v>
      </c>
      <c r="B871" t="s">
        <v>2</v>
      </c>
      <c r="C871">
        <v>57</v>
      </c>
      <c r="D871">
        <v>299112.7</v>
      </c>
      <c r="E871">
        <v>0.4</v>
      </c>
      <c r="F871">
        <v>346.69</v>
      </c>
      <c r="G871">
        <v>1.66</v>
      </c>
      <c r="H871" t="s">
        <v>357</v>
      </c>
      <c r="I871">
        <v>0.5</v>
      </c>
      <c r="J871">
        <v>42287</v>
      </c>
      <c r="K871" t="s">
        <v>319</v>
      </c>
      <c r="L871" s="85"/>
      <c r="M871" s="85"/>
    </row>
    <row r="872" spans="1:13" x14ac:dyDescent="0.2">
      <c r="A872" t="s">
        <v>356</v>
      </c>
      <c r="B872" t="s">
        <v>1</v>
      </c>
      <c r="C872">
        <v>27</v>
      </c>
      <c r="D872">
        <v>422254.6</v>
      </c>
      <c r="E872">
        <v>0.9</v>
      </c>
      <c r="F872">
        <v>20.65</v>
      </c>
      <c r="G872">
        <v>0.19700000000000001</v>
      </c>
      <c r="H872" t="s">
        <v>357</v>
      </c>
      <c r="I872">
        <v>1</v>
      </c>
      <c r="J872">
        <v>10497</v>
      </c>
      <c r="K872" t="s">
        <v>319</v>
      </c>
      <c r="L872" s="85"/>
      <c r="M872" s="85"/>
    </row>
    <row r="873" spans="1:13" x14ac:dyDescent="0.2">
      <c r="A873" t="s">
        <v>356</v>
      </c>
      <c r="B873" t="s">
        <v>227</v>
      </c>
      <c r="C873">
        <v>53</v>
      </c>
      <c r="D873">
        <v>1807.8</v>
      </c>
      <c r="E873">
        <v>3.6</v>
      </c>
      <c r="F873">
        <v>0.55000000000000004</v>
      </c>
      <c r="G873">
        <v>2.4E-2</v>
      </c>
      <c r="H873" t="s">
        <v>357</v>
      </c>
      <c r="I873">
        <v>4.4000000000000004</v>
      </c>
      <c r="J873">
        <v>325</v>
      </c>
      <c r="K873" t="s">
        <v>319</v>
      </c>
      <c r="L873" s="85"/>
      <c r="M873" s="85"/>
    </row>
    <row r="874" spans="1:13" x14ac:dyDescent="0.2">
      <c r="A874" t="s">
        <v>356</v>
      </c>
      <c r="B874" t="s">
        <v>228</v>
      </c>
      <c r="C874">
        <v>55</v>
      </c>
      <c r="D874">
        <v>25191.200000000001</v>
      </c>
      <c r="E874">
        <v>1.2</v>
      </c>
      <c r="F874">
        <v>0.67</v>
      </c>
      <c r="G874">
        <v>8.9999999999999993E-3</v>
      </c>
      <c r="H874" t="s">
        <v>357</v>
      </c>
      <c r="I874">
        <v>1.3</v>
      </c>
      <c r="J874">
        <v>1037</v>
      </c>
      <c r="K874" t="s">
        <v>319</v>
      </c>
      <c r="L874" s="85"/>
      <c r="M874" s="85"/>
    </row>
    <row r="875" spans="1:13" x14ac:dyDescent="0.2">
      <c r="A875" t="s">
        <v>356</v>
      </c>
      <c r="B875" t="s">
        <v>229</v>
      </c>
      <c r="C875">
        <v>63</v>
      </c>
      <c r="D875">
        <v>48288.2</v>
      </c>
      <c r="E875">
        <v>1.5</v>
      </c>
      <c r="F875">
        <v>3.39</v>
      </c>
      <c r="G875">
        <v>5.2999999999999999E-2</v>
      </c>
      <c r="H875" t="s">
        <v>357</v>
      </c>
      <c r="I875">
        <v>1.5</v>
      </c>
      <c r="J875">
        <v>938</v>
      </c>
      <c r="K875" t="s">
        <v>319</v>
      </c>
      <c r="L875" s="85"/>
      <c r="M875" s="85"/>
    </row>
    <row r="876" spans="1:13" x14ac:dyDescent="0.2">
      <c r="A876" t="s">
        <v>356</v>
      </c>
      <c r="B876" t="s">
        <v>230</v>
      </c>
      <c r="C876">
        <v>66</v>
      </c>
      <c r="D876">
        <v>12921.5</v>
      </c>
      <c r="E876">
        <v>2</v>
      </c>
      <c r="F876">
        <v>3.83</v>
      </c>
      <c r="G876">
        <v>0.08</v>
      </c>
      <c r="H876" t="s">
        <v>357</v>
      </c>
      <c r="I876">
        <v>2.1</v>
      </c>
      <c r="J876">
        <v>262</v>
      </c>
      <c r="K876" t="s">
        <v>319</v>
      </c>
      <c r="L876" s="85"/>
      <c r="M876" s="85"/>
    </row>
    <row r="877" spans="1:13" x14ac:dyDescent="0.2">
      <c r="A877" t="s">
        <v>356</v>
      </c>
      <c r="B877" t="s">
        <v>231</v>
      </c>
      <c r="C877">
        <v>75</v>
      </c>
      <c r="D877">
        <v>3184</v>
      </c>
      <c r="E877">
        <v>1.5</v>
      </c>
      <c r="F877">
        <v>1</v>
      </c>
      <c r="G877">
        <v>1.4999999999999999E-2</v>
      </c>
      <c r="H877" t="s">
        <v>357</v>
      </c>
      <c r="I877">
        <v>1.5</v>
      </c>
      <c r="J877">
        <v>17</v>
      </c>
      <c r="K877" t="s">
        <v>319</v>
      </c>
      <c r="L877" s="85"/>
      <c r="M877" s="85"/>
    </row>
    <row r="878" spans="1:13" x14ac:dyDescent="0.2">
      <c r="A878" t="s">
        <v>356</v>
      </c>
      <c r="B878" t="s">
        <v>232</v>
      </c>
      <c r="C878">
        <v>111</v>
      </c>
      <c r="D878">
        <v>78</v>
      </c>
      <c r="E878">
        <v>25.3</v>
      </c>
      <c r="F878">
        <v>0.02</v>
      </c>
      <c r="G878">
        <v>5.0000000000000001E-3</v>
      </c>
      <c r="H878" t="s">
        <v>357</v>
      </c>
      <c r="I878">
        <v>29.3</v>
      </c>
      <c r="J878">
        <v>11</v>
      </c>
      <c r="K878" t="s">
        <v>319</v>
      </c>
      <c r="L878" s="85"/>
      <c r="M878" s="85"/>
    </row>
    <row r="879" spans="1:13" x14ac:dyDescent="0.2">
      <c r="A879" t="s">
        <v>356</v>
      </c>
      <c r="B879" t="s">
        <v>233</v>
      </c>
      <c r="C879">
        <v>118</v>
      </c>
      <c r="D879">
        <v>2343.5</v>
      </c>
      <c r="E879">
        <v>1.2</v>
      </c>
      <c r="F879">
        <v>0.19</v>
      </c>
      <c r="G879">
        <v>2E-3</v>
      </c>
      <c r="H879" t="s">
        <v>357</v>
      </c>
      <c r="I879">
        <v>1.3</v>
      </c>
      <c r="J879">
        <v>108</v>
      </c>
      <c r="K879" t="s">
        <v>319</v>
      </c>
      <c r="L879" s="85"/>
      <c r="M879" s="85"/>
    </row>
    <row r="880" spans="1:13" x14ac:dyDescent="0.2">
      <c r="A880" t="s">
        <v>356</v>
      </c>
      <c r="B880" t="s">
        <v>234</v>
      </c>
      <c r="C880">
        <v>206</v>
      </c>
      <c r="D880">
        <v>2979.3</v>
      </c>
      <c r="E880">
        <v>5</v>
      </c>
      <c r="F880">
        <v>0.27</v>
      </c>
      <c r="G880">
        <v>1.6E-2</v>
      </c>
      <c r="H880" t="s">
        <v>357</v>
      </c>
      <c r="I880">
        <v>5.9</v>
      </c>
      <c r="J880">
        <v>442</v>
      </c>
      <c r="K880" t="s">
        <v>319</v>
      </c>
      <c r="L880" s="145">
        <v>0.24099999999999999</v>
      </c>
      <c r="M880" s="85">
        <f>F880*L880</f>
        <v>6.5070000000000003E-2</v>
      </c>
    </row>
    <row r="881" spans="1:13" x14ac:dyDescent="0.2">
      <c r="A881" t="s">
        <v>356</v>
      </c>
      <c r="B881" t="s">
        <v>234</v>
      </c>
      <c r="C881">
        <v>207</v>
      </c>
      <c r="D881">
        <v>2677.9</v>
      </c>
      <c r="E881">
        <v>4.3</v>
      </c>
      <c r="F881">
        <v>0.32</v>
      </c>
      <c r="G881">
        <v>1.6E-2</v>
      </c>
      <c r="H881" t="s">
        <v>357</v>
      </c>
      <c r="I881">
        <v>5.0999999999999996</v>
      </c>
      <c r="J881">
        <v>389</v>
      </c>
      <c r="K881" t="s">
        <v>319</v>
      </c>
      <c r="L881" s="145">
        <v>0.221</v>
      </c>
      <c r="M881" s="85">
        <f t="shared" ref="M881:M882" si="48">F881*L881</f>
        <v>7.0720000000000005E-2</v>
      </c>
    </row>
    <row r="882" spans="1:13" x14ac:dyDescent="0.2">
      <c r="A882" t="s">
        <v>356</v>
      </c>
      <c r="B882" t="s">
        <v>234</v>
      </c>
      <c r="C882">
        <v>208</v>
      </c>
      <c r="D882">
        <v>6488.1</v>
      </c>
      <c r="E882">
        <v>2.7</v>
      </c>
      <c r="F882">
        <v>0.31</v>
      </c>
      <c r="G882">
        <v>0.01</v>
      </c>
      <c r="H882" t="s">
        <v>357</v>
      </c>
      <c r="I882">
        <v>3.2</v>
      </c>
      <c r="J882">
        <v>954</v>
      </c>
      <c r="K882" t="s">
        <v>319</v>
      </c>
      <c r="L882" s="145">
        <v>0.52400000000000002</v>
      </c>
      <c r="M882" s="85">
        <f t="shared" si="48"/>
        <v>0.16244</v>
      </c>
    </row>
    <row r="883" spans="1:13" x14ac:dyDescent="0.2">
      <c r="A883" t="s">
        <v>338</v>
      </c>
      <c r="L883" s="85"/>
      <c r="M883" s="85"/>
    </row>
    <row r="884" spans="1:13" x14ac:dyDescent="0.2">
      <c r="A884" t="s">
        <v>339</v>
      </c>
      <c r="B884" t="s">
        <v>415</v>
      </c>
      <c r="L884" s="85"/>
      <c r="M884" s="85"/>
    </row>
    <row r="885" spans="1:13" x14ac:dyDescent="0.2">
      <c r="A885" t="s">
        <v>341</v>
      </c>
      <c r="B885" t="s">
        <v>342</v>
      </c>
      <c r="C885" t="s">
        <v>343</v>
      </c>
      <c r="D885" t="s">
        <v>416</v>
      </c>
      <c r="L885" s="85"/>
      <c r="M885" s="85"/>
    </row>
    <row r="886" spans="1:13" x14ac:dyDescent="0.2">
      <c r="A886" t="s">
        <v>345</v>
      </c>
      <c r="L886" s="85"/>
      <c r="M886" s="85"/>
    </row>
    <row r="887" spans="1:13" x14ac:dyDescent="0.2">
      <c r="A887" t="s">
        <v>346</v>
      </c>
      <c r="L887" s="85"/>
      <c r="M887" s="85"/>
    </row>
    <row r="888" spans="1:13" x14ac:dyDescent="0.2">
      <c r="A888" t="s">
        <v>347</v>
      </c>
      <c r="B888" t="s">
        <v>348</v>
      </c>
      <c r="C888" t="s">
        <v>349</v>
      </c>
      <c r="D888" t="s">
        <v>350</v>
      </c>
      <c r="E888" t="s">
        <v>351</v>
      </c>
      <c r="F888" t="s">
        <v>352</v>
      </c>
      <c r="G888" t="s">
        <v>353</v>
      </c>
      <c r="H888" t="s">
        <v>314</v>
      </c>
      <c r="I888" t="s">
        <v>351</v>
      </c>
      <c r="J888" t="s">
        <v>354</v>
      </c>
      <c r="K888" t="s">
        <v>355</v>
      </c>
      <c r="L888" s="85" t="s">
        <v>423</v>
      </c>
      <c r="M888" s="85" t="s">
        <v>424</v>
      </c>
    </row>
    <row r="889" spans="1:13" x14ac:dyDescent="0.2">
      <c r="A889" t="s">
        <v>356</v>
      </c>
      <c r="B889" t="s">
        <v>2</v>
      </c>
      <c r="C889">
        <v>57</v>
      </c>
      <c r="D889">
        <v>154098.70000000001</v>
      </c>
      <c r="E889">
        <v>0.5</v>
      </c>
      <c r="F889">
        <v>150.93</v>
      </c>
      <c r="G889">
        <v>0.94799999999999995</v>
      </c>
      <c r="H889" t="s">
        <v>357</v>
      </c>
      <c r="I889">
        <v>0.6</v>
      </c>
      <c r="J889">
        <v>42287</v>
      </c>
      <c r="K889" t="s">
        <v>319</v>
      </c>
      <c r="L889" s="85"/>
      <c r="M889" s="85"/>
    </row>
    <row r="890" spans="1:13" x14ac:dyDescent="0.2">
      <c r="A890" t="s">
        <v>356</v>
      </c>
      <c r="B890" t="s">
        <v>1</v>
      </c>
      <c r="C890">
        <v>27</v>
      </c>
      <c r="D890">
        <v>2123895</v>
      </c>
      <c r="E890">
        <v>1.1000000000000001</v>
      </c>
      <c r="F890">
        <v>105.96</v>
      </c>
      <c r="G890">
        <v>1.127</v>
      </c>
      <c r="H890" t="s">
        <v>357</v>
      </c>
      <c r="I890">
        <v>1.1000000000000001</v>
      </c>
      <c r="J890">
        <v>10497</v>
      </c>
      <c r="K890" t="s">
        <v>319</v>
      </c>
      <c r="L890" s="85"/>
      <c r="M890" s="85"/>
    </row>
    <row r="891" spans="1:13" x14ac:dyDescent="0.2">
      <c r="A891" t="s">
        <v>356</v>
      </c>
      <c r="B891" t="s">
        <v>227</v>
      </c>
      <c r="C891">
        <v>53</v>
      </c>
      <c r="D891">
        <v>2755.3</v>
      </c>
      <c r="E891">
        <v>1.3</v>
      </c>
      <c r="F891">
        <v>0.91</v>
      </c>
      <c r="G891">
        <v>1.2999999999999999E-2</v>
      </c>
      <c r="H891" t="s">
        <v>357</v>
      </c>
      <c r="I891">
        <v>1.5</v>
      </c>
      <c r="J891">
        <v>325</v>
      </c>
      <c r="K891" t="s">
        <v>319</v>
      </c>
      <c r="L891" s="85"/>
      <c r="M891" s="85"/>
    </row>
    <row r="892" spans="1:13" x14ac:dyDescent="0.2">
      <c r="A892" t="s">
        <v>356</v>
      </c>
      <c r="B892" t="s">
        <v>228</v>
      </c>
      <c r="C892">
        <v>55</v>
      </c>
      <c r="D892">
        <v>28586.6</v>
      </c>
      <c r="E892">
        <v>1</v>
      </c>
      <c r="F892">
        <v>0.77</v>
      </c>
      <c r="G892">
        <v>8.0000000000000002E-3</v>
      </c>
      <c r="H892" t="s">
        <v>357</v>
      </c>
      <c r="I892">
        <v>1</v>
      </c>
      <c r="J892">
        <v>1037</v>
      </c>
      <c r="K892" t="s">
        <v>319</v>
      </c>
      <c r="L892" s="85"/>
      <c r="M892" s="85"/>
    </row>
    <row r="893" spans="1:13" x14ac:dyDescent="0.2">
      <c r="A893" t="s">
        <v>356</v>
      </c>
      <c r="B893" t="s">
        <v>229</v>
      </c>
      <c r="C893">
        <v>63</v>
      </c>
      <c r="D893">
        <v>43745.2</v>
      </c>
      <c r="E893">
        <v>0.3</v>
      </c>
      <c r="F893">
        <v>3.07</v>
      </c>
      <c r="G893">
        <v>8.9999999999999993E-3</v>
      </c>
      <c r="H893" t="s">
        <v>357</v>
      </c>
      <c r="I893">
        <v>0.3</v>
      </c>
      <c r="J893">
        <v>938</v>
      </c>
      <c r="K893" t="s">
        <v>319</v>
      </c>
      <c r="L893" s="85"/>
      <c r="M893" s="85"/>
    </row>
    <row r="894" spans="1:13" x14ac:dyDescent="0.2">
      <c r="A894" t="s">
        <v>356</v>
      </c>
      <c r="B894" t="s">
        <v>230</v>
      </c>
      <c r="C894">
        <v>66</v>
      </c>
      <c r="D894">
        <v>16499.5</v>
      </c>
      <c r="E894">
        <v>1</v>
      </c>
      <c r="F894">
        <v>4.91</v>
      </c>
      <c r="G894">
        <v>5.1999999999999998E-2</v>
      </c>
      <c r="H894" t="s">
        <v>357</v>
      </c>
      <c r="I894">
        <v>1.1000000000000001</v>
      </c>
      <c r="J894">
        <v>262</v>
      </c>
      <c r="K894" t="s">
        <v>319</v>
      </c>
      <c r="L894" s="85"/>
      <c r="M894" s="85"/>
    </row>
    <row r="895" spans="1:13" x14ac:dyDescent="0.2">
      <c r="A895" t="s">
        <v>356</v>
      </c>
      <c r="B895" t="s">
        <v>231</v>
      </c>
      <c r="C895">
        <v>75</v>
      </c>
      <c r="D895">
        <v>1498.4</v>
      </c>
      <c r="E895">
        <v>2.2999999999999998</v>
      </c>
      <c r="F895">
        <v>0.47</v>
      </c>
      <c r="G895">
        <v>1.0999999999999999E-2</v>
      </c>
      <c r="H895" t="s">
        <v>357</v>
      </c>
      <c r="I895">
        <v>2.2999999999999998</v>
      </c>
      <c r="J895">
        <v>17</v>
      </c>
      <c r="K895" t="s">
        <v>319</v>
      </c>
      <c r="L895" s="85"/>
      <c r="M895" s="85"/>
    </row>
    <row r="896" spans="1:13" x14ac:dyDescent="0.2">
      <c r="A896" t="s">
        <v>356</v>
      </c>
      <c r="B896" t="s">
        <v>232</v>
      </c>
      <c r="C896">
        <v>111</v>
      </c>
      <c r="D896">
        <v>167.7</v>
      </c>
      <c r="E896">
        <v>11.3</v>
      </c>
      <c r="F896">
        <v>0.04</v>
      </c>
      <c r="G896">
        <v>5.0000000000000001E-3</v>
      </c>
      <c r="H896" t="s">
        <v>357</v>
      </c>
      <c r="I896">
        <v>12</v>
      </c>
      <c r="J896">
        <v>11</v>
      </c>
      <c r="K896" t="s">
        <v>319</v>
      </c>
      <c r="L896" s="85"/>
      <c r="M896" s="85"/>
    </row>
    <row r="897" spans="1:13" x14ac:dyDescent="0.2">
      <c r="A897" t="s">
        <v>356</v>
      </c>
      <c r="B897" t="s">
        <v>233</v>
      </c>
      <c r="C897">
        <v>118</v>
      </c>
      <c r="D897">
        <v>790</v>
      </c>
      <c r="E897">
        <v>5.4</v>
      </c>
      <c r="F897">
        <v>0.06</v>
      </c>
      <c r="G897">
        <v>4.0000000000000001E-3</v>
      </c>
      <c r="H897" t="s">
        <v>357</v>
      </c>
      <c r="I897">
        <v>6.3</v>
      </c>
      <c r="J897">
        <v>108</v>
      </c>
      <c r="K897" t="s">
        <v>319</v>
      </c>
      <c r="L897" s="85"/>
      <c r="M897" s="85"/>
    </row>
    <row r="898" spans="1:13" x14ac:dyDescent="0.2">
      <c r="A898" t="s">
        <v>356</v>
      </c>
      <c r="B898" t="s">
        <v>234</v>
      </c>
      <c r="C898">
        <v>206</v>
      </c>
      <c r="D898">
        <v>2010.8</v>
      </c>
      <c r="E898">
        <v>2.4</v>
      </c>
      <c r="F898">
        <v>0.17</v>
      </c>
      <c r="G898">
        <v>5.0000000000000001E-3</v>
      </c>
      <c r="H898" t="s">
        <v>357</v>
      </c>
      <c r="I898">
        <v>3</v>
      </c>
      <c r="J898">
        <v>442</v>
      </c>
      <c r="K898" t="s">
        <v>319</v>
      </c>
      <c r="L898" s="145">
        <v>0.24099999999999999</v>
      </c>
      <c r="M898" s="85">
        <f>F898*L898</f>
        <v>4.0969999999999999E-2</v>
      </c>
    </row>
    <row r="899" spans="1:13" x14ac:dyDescent="0.2">
      <c r="A899" t="s">
        <v>356</v>
      </c>
      <c r="B899" t="s">
        <v>234</v>
      </c>
      <c r="C899">
        <v>207</v>
      </c>
      <c r="D899">
        <v>1753.4</v>
      </c>
      <c r="E899">
        <v>4.5</v>
      </c>
      <c r="F899">
        <v>0.19</v>
      </c>
      <c r="G899">
        <v>1.0999999999999999E-2</v>
      </c>
      <c r="H899" t="s">
        <v>357</v>
      </c>
      <c r="I899">
        <v>5.7</v>
      </c>
      <c r="J899">
        <v>389</v>
      </c>
      <c r="K899" t="s">
        <v>319</v>
      </c>
      <c r="L899" s="145">
        <v>0.221</v>
      </c>
      <c r="M899" s="85">
        <f t="shared" ref="M899:M900" si="49">F899*L899</f>
        <v>4.199E-2</v>
      </c>
    </row>
    <row r="900" spans="1:13" x14ac:dyDescent="0.2">
      <c r="A900" t="s">
        <v>356</v>
      </c>
      <c r="B900" t="s">
        <v>234</v>
      </c>
      <c r="C900">
        <v>208</v>
      </c>
      <c r="D900">
        <v>4319</v>
      </c>
      <c r="E900">
        <v>0.3</v>
      </c>
      <c r="F900">
        <v>0.19</v>
      </c>
      <c r="G900">
        <v>1E-3</v>
      </c>
      <c r="H900" t="s">
        <v>357</v>
      </c>
      <c r="I900">
        <v>0.4</v>
      </c>
      <c r="J900">
        <v>954</v>
      </c>
      <c r="K900" t="s">
        <v>319</v>
      </c>
      <c r="L900" s="145">
        <v>0.52400000000000002</v>
      </c>
      <c r="M900" s="85">
        <f t="shared" si="49"/>
        <v>9.956000000000001E-2</v>
      </c>
    </row>
    <row r="901" spans="1:13" x14ac:dyDescent="0.2">
      <c r="A901" t="s">
        <v>338</v>
      </c>
      <c r="L901" s="85"/>
      <c r="M901" s="85"/>
    </row>
    <row r="902" spans="1:13" x14ac:dyDescent="0.2">
      <c r="A902" t="s">
        <v>339</v>
      </c>
      <c r="B902" t="s">
        <v>417</v>
      </c>
      <c r="L902" s="85"/>
      <c r="M902" s="85"/>
    </row>
    <row r="903" spans="1:13" x14ac:dyDescent="0.2">
      <c r="A903" t="s">
        <v>341</v>
      </c>
      <c r="B903" t="s">
        <v>342</v>
      </c>
      <c r="C903" t="s">
        <v>343</v>
      </c>
      <c r="D903" t="s">
        <v>418</v>
      </c>
      <c r="L903" s="85"/>
      <c r="M903" s="85"/>
    </row>
    <row r="904" spans="1:13" x14ac:dyDescent="0.2">
      <c r="A904" t="s">
        <v>345</v>
      </c>
      <c r="L904" s="85"/>
      <c r="M904" s="85"/>
    </row>
    <row r="905" spans="1:13" x14ac:dyDescent="0.2">
      <c r="A905" t="s">
        <v>346</v>
      </c>
      <c r="L905" s="85"/>
      <c r="M905" s="85"/>
    </row>
    <row r="906" spans="1:13" x14ac:dyDescent="0.2">
      <c r="A906" t="s">
        <v>347</v>
      </c>
      <c r="B906" t="s">
        <v>348</v>
      </c>
      <c r="C906" t="s">
        <v>349</v>
      </c>
      <c r="D906" t="s">
        <v>350</v>
      </c>
      <c r="E906" t="s">
        <v>351</v>
      </c>
      <c r="F906" t="s">
        <v>352</v>
      </c>
      <c r="G906" t="s">
        <v>353</v>
      </c>
      <c r="H906" t="s">
        <v>314</v>
      </c>
      <c r="I906" t="s">
        <v>351</v>
      </c>
      <c r="J906" t="s">
        <v>354</v>
      </c>
      <c r="K906" t="s">
        <v>355</v>
      </c>
      <c r="L906" s="85" t="s">
        <v>423</v>
      </c>
      <c r="M906" s="85" t="s">
        <v>424</v>
      </c>
    </row>
    <row r="907" spans="1:13" x14ac:dyDescent="0.2">
      <c r="A907" t="s">
        <v>356</v>
      </c>
      <c r="B907" t="s">
        <v>2</v>
      </c>
      <c r="C907">
        <v>57</v>
      </c>
      <c r="D907">
        <v>382878.1</v>
      </c>
      <c r="E907">
        <v>0.6</v>
      </c>
      <c r="F907">
        <v>459.76</v>
      </c>
      <c r="G907">
        <v>2.8620000000000001</v>
      </c>
      <c r="H907" t="s">
        <v>357</v>
      </c>
      <c r="I907">
        <v>0.6</v>
      </c>
      <c r="J907">
        <v>42287</v>
      </c>
      <c r="K907" t="s">
        <v>319</v>
      </c>
      <c r="L907" s="85"/>
      <c r="M907" s="85"/>
    </row>
    <row r="908" spans="1:13" x14ac:dyDescent="0.2">
      <c r="A908" t="s">
        <v>356</v>
      </c>
      <c r="B908" t="s">
        <v>1</v>
      </c>
      <c r="C908">
        <v>27</v>
      </c>
      <c r="D908">
        <v>6656786.4000000004</v>
      </c>
      <c r="E908">
        <v>1.5</v>
      </c>
      <c r="F908">
        <v>333.24</v>
      </c>
      <c r="G908">
        <v>4.8819999999999997</v>
      </c>
      <c r="H908" t="s">
        <v>357</v>
      </c>
      <c r="I908">
        <v>1.5</v>
      </c>
      <c r="J908">
        <v>10497</v>
      </c>
      <c r="K908" t="s">
        <v>319</v>
      </c>
      <c r="L908" s="85"/>
      <c r="M908" s="85"/>
    </row>
    <row r="909" spans="1:13" x14ac:dyDescent="0.2">
      <c r="A909" t="s">
        <v>356</v>
      </c>
      <c r="B909" t="s">
        <v>227</v>
      </c>
      <c r="C909">
        <v>53</v>
      </c>
      <c r="D909">
        <v>1986.8</v>
      </c>
      <c r="E909">
        <v>2.2000000000000002</v>
      </c>
      <c r="F909">
        <v>0.62</v>
      </c>
      <c r="G909">
        <v>1.6E-2</v>
      </c>
      <c r="H909" t="s">
        <v>357</v>
      </c>
      <c r="I909">
        <v>2.6</v>
      </c>
      <c r="J909">
        <v>325</v>
      </c>
      <c r="K909" t="s">
        <v>319</v>
      </c>
      <c r="L909" s="85"/>
      <c r="M909" s="85"/>
    </row>
    <row r="910" spans="1:13" x14ac:dyDescent="0.2">
      <c r="A910" t="s">
        <v>356</v>
      </c>
      <c r="B910" t="s">
        <v>228</v>
      </c>
      <c r="C910">
        <v>55</v>
      </c>
      <c r="D910">
        <v>2104666.7999999998</v>
      </c>
      <c r="E910">
        <v>1.1000000000000001</v>
      </c>
      <c r="F910">
        <v>58.45</v>
      </c>
      <c r="G910">
        <v>0.63600000000000001</v>
      </c>
      <c r="H910" t="s">
        <v>357</v>
      </c>
      <c r="I910">
        <v>1.1000000000000001</v>
      </c>
      <c r="J910">
        <v>1037</v>
      </c>
      <c r="K910" t="s">
        <v>319</v>
      </c>
      <c r="L910" s="85"/>
      <c r="M910" s="85"/>
    </row>
    <row r="911" spans="1:13" x14ac:dyDescent="0.2">
      <c r="A911" t="s">
        <v>356</v>
      </c>
      <c r="B911" t="s">
        <v>229</v>
      </c>
      <c r="C911">
        <v>63</v>
      </c>
      <c r="D911">
        <v>11944.7</v>
      </c>
      <c r="E911">
        <v>3.2</v>
      </c>
      <c r="F911">
        <v>0.79</v>
      </c>
      <c r="G911">
        <v>2.7E-2</v>
      </c>
      <c r="H911" t="s">
        <v>357</v>
      </c>
      <c r="I911">
        <v>3.5</v>
      </c>
      <c r="J911">
        <v>938</v>
      </c>
      <c r="K911" t="s">
        <v>319</v>
      </c>
      <c r="L911" s="85"/>
      <c r="M911" s="85"/>
    </row>
    <row r="912" spans="1:13" x14ac:dyDescent="0.2">
      <c r="A912" t="s">
        <v>356</v>
      </c>
      <c r="B912" t="s">
        <v>230</v>
      </c>
      <c r="C912">
        <v>66</v>
      </c>
      <c r="D912">
        <v>32237</v>
      </c>
      <c r="E912">
        <v>1.3</v>
      </c>
      <c r="F912">
        <v>9.68</v>
      </c>
      <c r="G912">
        <v>0.13</v>
      </c>
      <c r="H912" t="s">
        <v>357</v>
      </c>
      <c r="I912">
        <v>1.3</v>
      </c>
      <c r="J912">
        <v>262</v>
      </c>
      <c r="K912" t="s">
        <v>319</v>
      </c>
      <c r="L912" s="85"/>
      <c r="M912" s="85"/>
    </row>
    <row r="913" spans="1:13" x14ac:dyDescent="0.2">
      <c r="A913" t="s">
        <v>356</v>
      </c>
      <c r="B913" t="s">
        <v>231</v>
      </c>
      <c r="C913">
        <v>75</v>
      </c>
      <c r="D913">
        <v>1122.7</v>
      </c>
      <c r="E913">
        <v>2.2999999999999998</v>
      </c>
      <c r="F913">
        <v>0.35</v>
      </c>
      <c r="G913">
        <v>8.0000000000000002E-3</v>
      </c>
      <c r="H913" t="s">
        <v>357</v>
      </c>
      <c r="I913">
        <v>2.2999999999999998</v>
      </c>
      <c r="J913">
        <v>17</v>
      </c>
      <c r="K913" t="s">
        <v>319</v>
      </c>
      <c r="L913" s="85"/>
      <c r="M913" s="85"/>
    </row>
    <row r="914" spans="1:13" x14ac:dyDescent="0.2">
      <c r="A914" t="s">
        <v>356</v>
      </c>
      <c r="B914" t="s">
        <v>232</v>
      </c>
      <c r="C914">
        <v>111</v>
      </c>
      <c r="D914">
        <v>166.3</v>
      </c>
      <c r="E914">
        <v>7.8</v>
      </c>
      <c r="F914">
        <v>0.04</v>
      </c>
      <c r="G914">
        <v>3.0000000000000001E-3</v>
      </c>
      <c r="H914" t="s">
        <v>357</v>
      </c>
      <c r="I914">
        <v>8.4</v>
      </c>
      <c r="J914">
        <v>11</v>
      </c>
      <c r="K914" t="s">
        <v>319</v>
      </c>
      <c r="L914" s="85"/>
      <c r="M914" s="85"/>
    </row>
    <row r="915" spans="1:13" x14ac:dyDescent="0.2">
      <c r="A915" t="s">
        <v>356</v>
      </c>
      <c r="B915" t="s">
        <v>233</v>
      </c>
      <c r="C915">
        <v>118</v>
      </c>
      <c r="D915">
        <v>5369</v>
      </c>
      <c r="E915">
        <v>0.6</v>
      </c>
      <c r="F915">
        <v>0.45</v>
      </c>
      <c r="G915">
        <v>3.0000000000000001E-3</v>
      </c>
      <c r="H915" t="s">
        <v>357</v>
      </c>
      <c r="I915">
        <v>0.6</v>
      </c>
      <c r="J915">
        <v>108</v>
      </c>
      <c r="K915" t="s">
        <v>319</v>
      </c>
      <c r="L915" s="85"/>
      <c r="M915" s="85"/>
    </row>
    <row r="916" spans="1:13" x14ac:dyDescent="0.2">
      <c r="A916" t="s">
        <v>356</v>
      </c>
      <c r="B916" t="s">
        <v>234</v>
      </c>
      <c r="C916">
        <v>206</v>
      </c>
      <c r="D916">
        <v>5821.9</v>
      </c>
      <c r="E916">
        <v>1.3</v>
      </c>
      <c r="F916">
        <v>0.57999999999999996</v>
      </c>
      <c r="G916">
        <v>8.0000000000000002E-3</v>
      </c>
      <c r="H916" t="s">
        <v>357</v>
      </c>
      <c r="I916">
        <v>1.4</v>
      </c>
      <c r="J916">
        <v>442</v>
      </c>
      <c r="K916" t="s">
        <v>319</v>
      </c>
      <c r="L916" s="145">
        <v>0.24099999999999999</v>
      </c>
      <c r="M916" s="85">
        <f>F916*L916</f>
        <v>0.13977999999999999</v>
      </c>
    </row>
    <row r="917" spans="1:13" x14ac:dyDescent="0.2">
      <c r="A917" t="s">
        <v>356</v>
      </c>
      <c r="B917" t="s">
        <v>234</v>
      </c>
      <c r="C917">
        <v>207</v>
      </c>
      <c r="D917">
        <v>5047.8999999999996</v>
      </c>
      <c r="E917">
        <v>1.1000000000000001</v>
      </c>
      <c r="F917">
        <v>0.65</v>
      </c>
      <c r="G917">
        <v>8.0000000000000002E-3</v>
      </c>
      <c r="H917" t="s">
        <v>357</v>
      </c>
      <c r="I917">
        <v>1.2</v>
      </c>
      <c r="J917">
        <v>389</v>
      </c>
      <c r="K917" t="s">
        <v>319</v>
      </c>
      <c r="L917" s="145">
        <v>0.221</v>
      </c>
      <c r="M917" s="85">
        <f t="shared" ref="M917:M918" si="50">F917*L917</f>
        <v>0.14365</v>
      </c>
    </row>
    <row r="918" spans="1:13" x14ac:dyDescent="0.2">
      <c r="A918" t="s">
        <v>356</v>
      </c>
      <c r="B918" t="s">
        <v>234</v>
      </c>
      <c r="C918">
        <v>208</v>
      </c>
      <c r="D918">
        <v>12635.3</v>
      </c>
      <c r="E918">
        <v>1.3</v>
      </c>
      <c r="F918">
        <v>0.65</v>
      </c>
      <c r="G918">
        <v>8.9999999999999993E-3</v>
      </c>
      <c r="H918" t="s">
        <v>357</v>
      </c>
      <c r="I918">
        <v>1.4</v>
      </c>
      <c r="J918">
        <v>954</v>
      </c>
      <c r="K918" t="s">
        <v>319</v>
      </c>
      <c r="L918" s="145">
        <v>0.52400000000000002</v>
      </c>
      <c r="M918" s="85">
        <f t="shared" si="50"/>
        <v>0.34060000000000001</v>
      </c>
    </row>
    <row r="919" spans="1:13" x14ac:dyDescent="0.2">
      <c r="A919" t="s">
        <v>338</v>
      </c>
      <c r="L919" s="85"/>
      <c r="M919" s="85"/>
    </row>
    <row r="920" spans="1:13" x14ac:dyDescent="0.2">
      <c r="A920" t="s">
        <v>339</v>
      </c>
      <c r="B920" t="s">
        <v>419</v>
      </c>
      <c r="L920" s="85"/>
      <c r="M920" s="85"/>
    </row>
    <row r="921" spans="1:13" x14ac:dyDescent="0.2">
      <c r="A921" t="s">
        <v>341</v>
      </c>
      <c r="B921" t="s">
        <v>342</v>
      </c>
      <c r="C921" t="s">
        <v>343</v>
      </c>
      <c r="D921" t="s">
        <v>420</v>
      </c>
      <c r="L921" s="85"/>
      <c r="M921" s="85"/>
    </row>
    <row r="922" spans="1:13" x14ac:dyDescent="0.2">
      <c r="A922" t="s">
        <v>345</v>
      </c>
      <c r="L922" s="85"/>
      <c r="M922" s="85"/>
    </row>
    <row r="923" spans="1:13" x14ac:dyDescent="0.2">
      <c r="A923" t="s">
        <v>346</v>
      </c>
      <c r="L923" s="85"/>
      <c r="M923" s="85"/>
    </row>
    <row r="924" spans="1:13" x14ac:dyDescent="0.2">
      <c r="A924" t="s">
        <v>347</v>
      </c>
      <c r="B924" t="s">
        <v>348</v>
      </c>
      <c r="C924" t="s">
        <v>349</v>
      </c>
      <c r="D924" t="s">
        <v>350</v>
      </c>
      <c r="E924" t="s">
        <v>351</v>
      </c>
      <c r="F924" t="s">
        <v>352</v>
      </c>
      <c r="G924" t="s">
        <v>353</v>
      </c>
      <c r="H924" t="s">
        <v>314</v>
      </c>
      <c r="I924" t="s">
        <v>351</v>
      </c>
      <c r="J924" t="s">
        <v>354</v>
      </c>
      <c r="K924" t="s">
        <v>355</v>
      </c>
      <c r="L924" s="85" t="s">
        <v>423</v>
      </c>
      <c r="M924" s="85" t="s">
        <v>424</v>
      </c>
    </row>
    <row r="925" spans="1:13" x14ac:dyDescent="0.2">
      <c r="A925" t="s">
        <v>356</v>
      </c>
      <c r="B925" t="s">
        <v>2</v>
      </c>
      <c r="C925">
        <v>57</v>
      </c>
      <c r="D925">
        <v>119701.8</v>
      </c>
      <c r="E925">
        <v>0.8</v>
      </c>
      <c r="F925">
        <v>104.5</v>
      </c>
      <c r="G925">
        <v>1.246</v>
      </c>
      <c r="H925" t="s">
        <v>357</v>
      </c>
      <c r="I925">
        <v>1.2</v>
      </c>
      <c r="J925">
        <v>42287</v>
      </c>
      <c r="K925" t="s">
        <v>319</v>
      </c>
      <c r="L925" s="85"/>
      <c r="M925" s="85"/>
    </row>
    <row r="926" spans="1:13" x14ac:dyDescent="0.2">
      <c r="A926" t="s">
        <v>356</v>
      </c>
      <c r="B926" t="s">
        <v>1</v>
      </c>
      <c r="C926">
        <v>27</v>
      </c>
      <c r="D926">
        <v>1167758.1000000001</v>
      </c>
      <c r="E926">
        <v>3.1</v>
      </c>
      <c r="F926">
        <v>58.02</v>
      </c>
      <c r="G926">
        <v>1.8049999999999999</v>
      </c>
      <c r="H926" t="s">
        <v>357</v>
      </c>
      <c r="I926">
        <v>3.1</v>
      </c>
      <c r="J926">
        <v>10497</v>
      </c>
      <c r="K926" t="s">
        <v>319</v>
      </c>
      <c r="L926" s="85"/>
      <c r="M926" s="85"/>
    </row>
    <row r="927" spans="1:13" x14ac:dyDescent="0.2">
      <c r="A927" t="s">
        <v>356</v>
      </c>
      <c r="B927" t="s">
        <v>227</v>
      </c>
      <c r="C927">
        <v>53</v>
      </c>
      <c r="D927">
        <v>1982.5</v>
      </c>
      <c r="E927">
        <v>2</v>
      </c>
      <c r="F927">
        <v>0.62</v>
      </c>
      <c r="G927">
        <v>1.4E-2</v>
      </c>
      <c r="H927" t="s">
        <v>357</v>
      </c>
      <c r="I927">
        <v>2.2999999999999998</v>
      </c>
      <c r="J927">
        <v>325</v>
      </c>
      <c r="K927" t="s">
        <v>319</v>
      </c>
      <c r="L927" s="85"/>
      <c r="M927" s="85"/>
    </row>
    <row r="928" spans="1:13" x14ac:dyDescent="0.2">
      <c r="A928" t="s">
        <v>356</v>
      </c>
      <c r="B928" t="s">
        <v>228</v>
      </c>
      <c r="C928">
        <v>55</v>
      </c>
      <c r="D928">
        <v>46030.9</v>
      </c>
      <c r="E928">
        <v>6.7</v>
      </c>
      <c r="F928">
        <v>1.25</v>
      </c>
      <c r="G928">
        <v>8.5000000000000006E-2</v>
      </c>
      <c r="H928" t="s">
        <v>357</v>
      </c>
      <c r="I928">
        <v>6.8</v>
      </c>
      <c r="J928">
        <v>1037</v>
      </c>
      <c r="K928" t="s">
        <v>319</v>
      </c>
      <c r="L928" s="85"/>
      <c r="M928" s="85"/>
    </row>
    <row r="929" spans="1:13" x14ac:dyDescent="0.2">
      <c r="A929" t="s">
        <v>356</v>
      </c>
      <c r="B929" t="s">
        <v>229</v>
      </c>
      <c r="C929">
        <v>63</v>
      </c>
      <c r="D929">
        <v>27259.7</v>
      </c>
      <c r="E929">
        <v>1.6</v>
      </c>
      <c r="F929">
        <v>1.89</v>
      </c>
      <c r="G929">
        <v>3.1E-2</v>
      </c>
      <c r="H929" t="s">
        <v>357</v>
      </c>
      <c r="I929">
        <v>1.7</v>
      </c>
      <c r="J929">
        <v>938</v>
      </c>
      <c r="K929" t="s">
        <v>319</v>
      </c>
      <c r="L929" s="85"/>
      <c r="M929" s="85"/>
    </row>
    <row r="930" spans="1:13" x14ac:dyDescent="0.2">
      <c r="A930" t="s">
        <v>356</v>
      </c>
      <c r="B930" t="s">
        <v>230</v>
      </c>
      <c r="C930">
        <v>66</v>
      </c>
      <c r="D930">
        <v>3413.4</v>
      </c>
      <c r="E930">
        <v>3.7</v>
      </c>
      <c r="F930">
        <v>0.95</v>
      </c>
      <c r="G930">
        <v>3.7999999999999999E-2</v>
      </c>
      <c r="H930" t="s">
        <v>357</v>
      </c>
      <c r="I930">
        <v>4</v>
      </c>
      <c r="J930">
        <v>262</v>
      </c>
      <c r="K930" t="s">
        <v>319</v>
      </c>
      <c r="L930" s="85"/>
      <c r="M930" s="85"/>
    </row>
    <row r="931" spans="1:13" x14ac:dyDescent="0.2">
      <c r="A931" t="s">
        <v>356</v>
      </c>
      <c r="B931" t="s">
        <v>231</v>
      </c>
      <c r="C931">
        <v>75</v>
      </c>
      <c r="D931">
        <v>1412.7</v>
      </c>
      <c r="E931">
        <v>1.2</v>
      </c>
      <c r="F931">
        <v>0.44</v>
      </c>
      <c r="G931">
        <v>5.0000000000000001E-3</v>
      </c>
      <c r="H931" t="s">
        <v>357</v>
      </c>
      <c r="I931">
        <v>1.2</v>
      </c>
      <c r="J931">
        <v>17</v>
      </c>
      <c r="K931" t="s">
        <v>319</v>
      </c>
      <c r="L931" s="85"/>
      <c r="M931" s="85"/>
    </row>
    <row r="932" spans="1:13" x14ac:dyDescent="0.2">
      <c r="A932" t="s">
        <v>356</v>
      </c>
      <c r="B932" t="s">
        <v>232</v>
      </c>
      <c r="C932">
        <v>111</v>
      </c>
      <c r="D932">
        <v>62.3</v>
      </c>
      <c r="E932">
        <v>6.1</v>
      </c>
      <c r="F932">
        <v>0.01</v>
      </c>
      <c r="G932">
        <v>1E-3</v>
      </c>
      <c r="H932" t="s">
        <v>357</v>
      </c>
      <c r="I932">
        <v>7.3</v>
      </c>
      <c r="J932">
        <v>11</v>
      </c>
      <c r="K932" t="s">
        <v>319</v>
      </c>
      <c r="L932" s="85"/>
      <c r="M932" s="85"/>
    </row>
    <row r="933" spans="1:13" x14ac:dyDescent="0.2">
      <c r="A933" t="s">
        <v>356</v>
      </c>
      <c r="B933" t="s">
        <v>233</v>
      </c>
      <c r="C933">
        <v>118</v>
      </c>
      <c r="D933">
        <v>540</v>
      </c>
      <c r="E933">
        <v>20.5</v>
      </c>
      <c r="F933">
        <v>0.04</v>
      </c>
      <c r="G933">
        <v>8.9999999999999993E-3</v>
      </c>
      <c r="H933" t="s">
        <v>357</v>
      </c>
      <c r="I933">
        <v>25.6</v>
      </c>
      <c r="J933">
        <v>108</v>
      </c>
      <c r="K933" t="s">
        <v>319</v>
      </c>
      <c r="L933" s="85"/>
      <c r="M933" s="85"/>
    </row>
    <row r="934" spans="1:13" x14ac:dyDescent="0.2">
      <c r="A934" t="s">
        <v>356</v>
      </c>
      <c r="B934" t="s">
        <v>234</v>
      </c>
      <c r="C934">
        <v>206</v>
      </c>
      <c r="D934">
        <v>1237.0999999999999</v>
      </c>
      <c r="E934">
        <v>1.8</v>
      </c>
      <c r="F934">
        <v>0.09</v>
      </c>
      <c r="G934">
        <v>2E-3</v>
      </c>
      <c r="H934" t="s">
        <v>357</v>
      </c>
      <c r="I934">
        <v>2.8</v>
      </c>
      <c r="J934">
        <v>442</v>
      </c>
      <c r="K934" t="s">
        <v>319</v>
      </c>
      <c r="L934" s="145">
        <v>0.24099999999999999</v>
      </c>
      <c r="M934" s="85">
        <f>F934*L934</f>
        <v>2.1689999999999997E-2</v>
      </c>
    </row>
    <row r="935" spans="1:13" x14ac:dyDescent="0.2">
      <c r="A935" t="s">
        <v>356</v>
      </c>
      <c r="B935" t="s">
        <v>234</v>
      </c>
      <c r="C935">
        <v>207</v>
      </c>
      <c r="D935">
        <v>1111</v>
      </c>
      <c r="E935">
        <v>3.5</v>
      </c>
      <c r="F935">
        <v>0.1</v>
      </c>
      <c r="G935">
        <v>5.0000000000000001E-3</v>
      </c>
      <c r="H935" t="s">
        <v>357</v>
      </c>
      <c r="I935">
        <v>5.4</v>
      </c>
      <c r="J935">
        <v>389</v>
      </c>
      <c r="K935" t="s">
        <v>319</v>
      </c>
      <c r="L935" s="145">
        <v>0.221</v>
      </c>
      <c r="M935" s="85">
        <f t="shared" ref="M935:M936" si="51">F935*L935</f>
        <v>2.2100000000000002E-2</v>
      </c>
    </row>
    <row r="936" spans="1:13" x14ac:dyDescent="0.2">
      <c r="A936" t="s">
        <v>356</v>
      </c>
      <c r="B936" t="s">
        <v>234</v>
      </c>
      <c r="C936">
        <v>208</v>
      </c>
      <c r="D936">
        <v>2612.6</v>
      </c>
      <c r="E936">
        <v>5.3</v>
      </c>
      <c r="F936">
        <v>0.09</v>
      </c>
      <c r="G936">
        <v>8.0000000000000002E-3</v>
      </c>
      <c r="H936" t="s">
        <v>357</v>
      </c>
      <c r="I936">
        <v>8.4</v>
      </c>
      <c r="J936">
        <v>954</v>
      </c>
      <c r="K936" t="s">
        <v>319</v>
      </c>
      <c r="L936" s="145">
        <v>0.52400000000000002</v>
      </c>
      <c r="M936" s="85">
        <f t="shared" si="51"/>
        <v>4.7160000000000001E-2</v>
      </c>
    </row>
    <row r="937" spans="1:13" x14ac:dyDescent="0.2">
      <c r="A937" t="s">
        <v>338</v>
      </c>
      <c r="L937" s="85"/>
      <c r="M937" s="85"/>
    </row>
    <row r="938" spans="1:13" x14ac:dyDescent="0.2">
      <c r="A938" t="s">
        <v>339</v>
      </c>
      <c r="B938" t="s">
        <v>421</v>
      </c>
      <c r="L938" s="85"/>
      <c r="M938" s="85"/>
    </row>
    <row r="939" spans="1:13" x14ac:dyDescent="0.2">
      <c r="A939" t="s">
        <v>341</v>
      </c>
      <c r="B939" t="s">
        <v>342</v>
      </c>
      <c r="C939" t="s">
        <v>343</v>
      </c>
      <c r="D939" t="s">
        <v>422</v>
      </c>
      <c r="L939" s="85"/>
      <c r="M939" s="85"/>
    </row>
    <row r="940" spans="1:13" x14ac:dyDescent="0.2">
      <c r="A940" t="s">
        <v>345</v>
      </c>
      <c r="L940" s="85"/>
      <c r="M940" s="85"/>
    </row>
    <row r="941" spans="1:13" x14ac:dyDescent="0.2">
      <c r="A941" t="s">
        <v>346</v>
      </c>
      <c r="L941" s="85"/>
      <c r="M941" s="85"/>
    </row>
    <row r="942" spans="1:13" x14ac:dyDescent="0.2">
      <c r="A942" t="s">
        <v>347</v>
      </c>
      <c r="B942" t="s">
        <v>348</v>
      </c>
      <c r="C942" t="s">
        <v>349</v>
      </c>
      <c r="D942" t="s">
        <v>350</v>
      </c>
      <c r="E942" t="s">
        <v>351</v>
      </c>
      <c r="F942" t="s">
        <v>352</v>
      </c>
      <c r="G942" t="s">
        <v>353</v>
      </c>
      <c r="H942" t="s">
        <v>314</v>
      </c>
      <c r="I942" t="s">
        <v>351</v>
      </c>
      <c r="J942" t="s">
        <v>354</v>
      </c>
      <c r="K942" t="s">
        <v>355</v>
      </c>
      <c r="L942" s="85" t="s">
        <v>423</v>
      </c>
      <c r="M942" s="85" t="s">
        <v>424</v>
      </c>
    </row>
    <row r="943" spans="1:13" x14ac:dyDescent="0.2">
      <c r="A943" t="s">
        <v>356</v>
      </c>
      <c r="B943" t="s">
        <v>2</v>
      </c>
      <c r="C943">
        <v>57</v>
      </c>
      <c r="D943">
        <v>120823.5</v>
      </c>
      <c r="E943">
        <v>1.5</v>
      </c>
      <c r="F943">
        <v>106.02</v>
      </c>
      <c r="G943">
        <v>2.52</v>
      </c>
      <c r="H943" t="s">
        <v>357</v>
      </c>
      <c r="I943">
        <v>2.4</v>
      </c>
      <c r="J943">
        <v>42287</v>
      </c>
      <c r="K943" t="s">
        <v>319</v>
      </c>
      <c r="L943" s="85"/>
      <c r="M943" s="85"/>
    </row>
    <row r="944" spans="1:13" x14ac:dyDescent="0.2">
      <c r="A944" t="s">
        <v>356</v>
      </c>
      <c r="B944" t="s">
        <v>1</v>
      </c>
      <c r="C944">
        <v>27</v>
      </c>
      <c r="D944">
        <v>1171641.8999999999</v>
      </c>
      <c r="E944">
        <v>1.7</v>
      </c>
      <c r="F944">
        <v>58.22</v>
      </c>
      <c r="G944">
        <v>0.997</v>
      </c>
      <c r="H944" t="s">
        <v>357</v>
      </c>
      <c r="I944">
        <v>1.7</v>
      </c>
      <c r="J944">
        <v>10497</v>
      </c>
      <c r="K944" t="s">
        <v>319</v>
      </c>
      <c r="L944" s="85"/>
      <c r="M944" s="85"/>
    </row>
    <row r="945" spans="1:13" x14ac:dyDescent="0.2">
      <c r="A945" t="s">
        <v>356</v>
      </c>
      <c r="B945" t="s">
        <v>227</v>
      </c>
      <c r="C945">
        <v>53</v>
      </c>
      <c r="D945">
        <v>2030.8</v>
      </c>
      <c r="E945">
        <v>2.7</v>
      </c>
      <c r="F945">
        <v>0.64</v>
      </c>
      <c r="G945">
        <v>2.1000000000000001E-2</v>
      </c>
      <c r="H945" t="s">
        <v>357</v>
      </c>
      <c r="I945">
        <v>3.2</v>
      </c>
      <c r="J945">
        <v>325</v>
      </c>
      <c r="K945" t="s">
        <v>319</v>
      </c>
      <c r="L945" s="85"/>
      <c r="M945" s="85"/>
    </row>
    <row r="946" spans="1:13" x14ac:dyDescent="0.2">
      <c r="A946" t="s">
        <v>356</v>
      </c>
      <c r="B946" t="s">
        <v>228</v>
      </c>
      <c r="C946">
        <v>55</v>
      </c>
      <c r="D946">
        <v>46514.9</v>
      </c>
      <c r="E946">
        <v>0.8</v>
      </c>
      <c r="F946">
        <v>1.26</v>
      </c>
      <c r="G946">
        <v>0.01</v>
      </c>
      <c r="H946" t="s">
        <v>357</v>
      </c>
      <c r="I946">
        <v>0.8</v>
      </c>
      <c r="J946">
        <v>1037</v>
      </c>
      <c r="K946" t="s">
        <v>319</v>
      </c>
      <c r="L946" s="85"/>
      <c r="M946" s="85"/>
    </row>
    <row r="947" spans="1:13" x14ac:dyDescent="0.2">
      <c r="A947" t="s">
        <v>356</v>
      </c>
      <c r="B947" t="s">
        <v>229</v>
      </c>
      <c r="C947">
        <v>63</v>
      </c>
      <c r="D947">
        <v>25465.7</v>
      </c>
      <c r="E947">
        <v>1.3</v>
      </c>
      <c r="F947">
        <v>1.76</v>
      </c>
      <c r="G947">
        <v>2.4E-2</v>
      </c>
      <c r="H947" t="s">
        <v>357</v>
      </c>
      <c r="I947">
        <v>1.3</v>
      </c>
      <c r="J947">
        <v>938</v>
      </c>
      <c r="K947" t="s">
        <v>319</v>
      </c>
      <c r="L947" s="85"/>
      <c r="M947" s="85"/>
    </row>
    <row r="948" spans="1:13" x14ac:dyDescent="0.2">
      <c r="A948" t="s">
        <v>356</v>
      </c>
      <c r="B948" t="s">
        <v>230</v>
      </c>
      <c r="C948">
        <v>66</v>
      </c>
      <c r="D948">
        <v>2581.9</v>
      </c>
      <c r="E948">
        <v>2.6</v>
      </c>
      <c r="F948">
        <v>0.7</v>
      </c>
      <c r="G948">
        <v>2.1000000000000001E-2</v>
      </c>
      <c r="H948" t="s">
        <v>357</v>
      </c>
      <c r="I948">
        <v>2.9</v>
      </c>
      <c r="J948">
        <v>262</v>
      </c>
      <c r="K948" t="s">
        <v>319</v>
      </c>
      <c r="L948" s="85"/>
      <c r="M948" s="85"/>
    </row>
    <row r="949" spans="1:13" x14ac:dyDescent="0.2">
      <c r="A949" t="s">
        <v>356</v>
      </c>
      <c r="B949" t="s">
        <v>231</v>
      </c>
      <c r="C949">
        <v>75</v>
      </c>
      <c r="D949">
        <v>1463.1</v>
      </c>
      <c r="E949">
        <v>2.9</v>
      </c>
      <c r="F949">
        <v>0.46</v>
      </c>
      <c r="G949">
        <v>1.2999999999999999E-2</v>
      </c>
      <c r="H949" t="s">
        <v>357</v>
      </c>
      <c r="I949">
        <v>2.9</v>
      </c>
      <c r="J949">
        <v>17</v>
      </c>
      <c r="K949" t="s">
        <v>319</v>
      </c>
      <c r="L949" s="85"/>
      <c r="M949" s="85"/>
    </row>
    <row r="950" spans="1:13" x14ac:dyDescent="0.2">
      <c r="A950" t="s">
        <v>356</v>
      </c>
      <c r="B950" t="s">
        <v>232</v>
      </c>
      <c r="C950">
        <v>111</v>
      </c>
      <c r="D950">
        <v>74.7</v>
      </c>
      <c r="E950">
        <v>4.3</v>
      </c>
      <c r="F950">
        <v>0.02</v>
      </c>
      <c r="G950">
        <v>1E-3</v>
      </c>
      <c r="H950" t="s">
        <v>357</v>
      </c>
      <c r="I950">
        <v>5</v>
      </c>
      <c r="J950">
        <v>11</v>
      </c>
      <c r="K950" t="s">
        <v>319</v>
      </c>
      <c r="L950" s="85"/>
      <c r="M950" s="85"/>
    </row>
    <row r="951" spans="1:13" x14ac:dyDescent="0.2">
      <c r="A951" t="s">
        <v>356</v>
      </c>
      <c r="B951" t="s">
        <v>233</v>
      </c>
      <c r="C951">
        <v>118</v>
      </c>
      <c r="D951">
        <v>255.3</v>
      </c>
      <c r="E951">
        <v>5.9</v>
      </c>
      <c r="F951">
        <v>0.01</v>
      </c>
      <c r="G951">
        <v>1E-3</v>
      </c>
      <c r="H951" t="s">
        <v>357</v>
      </c>
      <c r="I951">
        <v>10.199999999999999</v>
      </c>
      <c r="J951">
        <v>108</v>
      </c>
      <c r="K951" t="s">
        <v>319</v>
      </c>
      <c r="L951" s="85"/>
      <c r="M951" s="85"/>
    </row>
    <row r="952" spans="1:13" x14ac:dyDescent="0.2">
      <c r="A952" t="s">
        <v>356</v>
      </c>
      <c r="B952" t="s">
        <v>234</v>
      </c>
      <c r="C952">
        <v>206</v>
      </c>
      <c r="D952">
        <v>1173.7</v>
      </c>
      <c r="E952">
        <v>3.2</v>
      </c>
      <c r="F952">
        <v>0.08</v>
      </c>
      <c r="G952">
        <v>4.0000000000000001E-3</v>
      </c>
      <c r="H952" t="s">
        <v>357</v>
      </c>
      <c r="I952">
        <v>5.0999999999999996</v>
      </c>
      <c r="J952">
        <v>442</v>
      </c>
      <c r="K952" t="s">
        <v>319</v>
      </c>
      <c r="L952" s="145">
        <v>0.24099999999999999</v>
      </c>
      <c r="M952" s="85">
        <f>F952*L952</f>
        <v>1.9279999999999999E-2</v>
      </c>
    </row>
    <row r="953" spans="1:13" x14ac:dyDescent="0.2">
      <c r="A953" t="s">
        <v>356</v>
      </c>
      <c r="B953" t="s">
        <v>234</v>
      </c>
      <c r="C953">
        <v>207</v>
      </c>
      <c r="D953">
        <v>1062</v>
      </c>
      <c r="E953">
        <v>4.0999999999999996</v>
      </c>
      <c r="F953">
        <v>0.09</v>
      </c>
      <c r="G953">
        <v>6.0000000000000001E-3</v>
      </c>
      <c r="H953" t="s">
        <v>357</v>
      </c>
      <c r="I953">
        <v>6.5</v>
      </c>
      <c r="J953">
        <v>389</v>
      </c>
      <c r="K953" t="s">
        <v>319</v>
      </c>
      <c r="L953" s="145">
        <v>0.221</v>
      </c>
      <c r="M953" s="85">
        <f t="shared" ref="M953:M954" si="52">F953*L953</f>
        <v>1.9889999999999998E-2</v>
      </c>
    </row>
    <row r="954" spans="1:13" x14ac:dyDescent="0.2">
      <c r="A954" t="s">
        <v>356</v>
      </c>
      <c r="B954" t="s">
        <v>234</v>
      </c>
      <c r="C954">
        <v>208</v>
      </c>
      <c r="D954">
        <v>2514.6</v>
      </c>
      <c r="E954">
        <v>1.9</v>
      </c>
      <c r="F954">
        <v>0.09</v>
      </c>
      <c r="G954">
        <v>3.0000000000000001E-3</v>
      </c>
      <c r="H954" t="s">
        <v>357</v>
      </c>
      <c r="I954">
        <v>3.1</v>
      </c>
      <c r="J954">
        <v>954</v>
      </c>
      <c r="K954" t="s">
        <v>319</v>
      </c>
      <c r="L954" s="145">
        <v>0.52400000000000002</v>
      </c>
      <c r="M954" s="85">
        <f t="shared" si="52"/>
        <v>4.7160000000000001E-2</v>
      </c>
    </row>
    <row r="955" spans="1:13" x14ac:dyDescent="0.2">
      <c r="L955" s="85"/>
      <c r="M955" s="85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All data</vt:lpstr>
      <vt:lpstr>Statistics</vt:lpstr>
      <vt:lpstr>IC major anions</vt:lpstr>
      <vt:lpstr>ICP-OES major cations</vt:lpstr>
      <vt:lpstr>ICP-MS trace metal</vt:lpstr>
      <vt:lpstr>PO4</vt:lpstr>
      <vt:lpstr>DOC</vt:lpstr>
      <vt:lpstr>Alkalinity</vt:lpstr>
      <vt:lpstr>Raw ICP-MS trace metal data</vt:lpstr>
      <vt:lpstr>206Pb</vt:lpstr>
      <vt:lpstr>207Pb</vt:lpstr>
      <vt:lpstr>208Pb</vt:lpstr>
      <vt:lpstr>'Raw ICP-MS trace metal data'!_131022_module_19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 David Vogt</dc:creator>
  <cp:lastModifiedBy>Rolf David Vogt</cp:lastModifiedBy>
  <cp:lastPrinted>2010-09-02T07:03:33Z</cp:lastPrinted>
  <dcterms:created xsi:type="dcterms:W3CDTF">2010-01-09T17:19:18Z</dcterms:created>
  <dcterms:modified xsi:type="dcterms:W3CDTF">2013-11-03T10:13:38Z</dcterms:modified>
</cp:coreProperties>
</file>