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ml.chartshapes+xml"/>
  <Override PartName="/xl/charts/chart16.xml" ContentType="application/vnd.openxmlformats-officedocument.drawingml.chart+xml"/>
  <Override PartName="/xl/drawings/drawing7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ml.chartshapes+xml"/>
  <Override PartName="/xl/charts/chart34.xml" ContentType="application/vnd.openxmlformats-officedocument.drawingml.chart+xml"/>
  <Override PartName="/xl/drawings/drawing13.xml" ContentType="application/vnd.openxmlformats-officedocument.drawingml.chartshapes+xml"/>
  <Override PartName="/xl/charts/chart35.xml" ContentType="application/vnd.openxmlformats-officedocument.drawingml.chart+xml"/>
  <Override PartName="/xl/drawings/drawing14.xml" ContentType="application/vnd.openxmlformats-officedocument.drawingml.chartshapes+xml"/>
  <Override PartName="/xl/charts/chart36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1235" yWindow="105" windowWidth="12900" windowHeight="13305" tabRatio="810"/>
  </bookViews>
  <sheets>
    <sheet name="2015 Data" sheetId="1" r:id="rId1"/>
    <sheet name="2015 Statistics" sheetId="30" r:id="rId2"/>
    <sheet name="2013 - 2015 All data" sheetId="36" r:id="rId3"/>
    <sheet name="2013 - 2015 Statistics" sheetId="37" r:id="rId4"/>
    <sheet name="Raw data Cations" sheetId="33" r:id="rId5"/>
    <sheet name="Raw data Anions" sheetId="32" r:id="rId6"/>
    <sheet name="Raw data Other" sheetId="38" r:id="rId7"/>
  </sheets>
  <definedNames>
    <definedName name="_xlnm._FilterDatabase" localSheetId="0" hidden="1">'2015 Data'!$A$1:$AR$4</definedName>
    <definedName name="_xlnm.Print_Area" localSheetId="0">'2015 Data'!#REF!</definedName>
  </definedNames>
  <calcPr calcId="145621"/>
</workbook>
</file>

<file path=xl/calcChain.xml><?xml version="1.0" encoding="utf-8"?>
<calcChain xmlns="http://schemas.openxmlformats.org/spreadsheetml/2006/main">
  <c r="DJ5" i="1" l="1"/>
  <c r="DJ6" i="1"/>
  <c r="DJ7" i="1"/>
  <c r="DJ8" i="1"/>
  <c r="DJ9" i="1"/>
  <c r="DJ10" i="1"/>
  <c r="DJ11" i="1"/>
  <c r="DJ12" i="1"/>
  <c r="DJ13" i="1"/>
  <c r="DJ14" i="1"/>
  <c r="DJ4" i="1"/>
  <c r="DH14" i="1"/>
  <c r="DH13" i="1"/>
  <c r="DH12" i="1"/>
  <c r="DH11" i="1"/>
  <c r="DH10" i="1"/>
  <c r="DH9" i="1"/>
  <c r="DH8" i="1"/>
  <c r="DH7" i="1"/>
  <c r="DH6" i="1"/>
  <c r="DH5" i="1"/>
  <c r="DH4" i="1"/>
  <c r="DF4" i="1"/>
  <c r="DD14" i="1"/>
  <c r="DF14" i="1" s="1"/>
  <c r="DD13" i="1"/>
  <c r="DF13" i="1" s="1"/>
  <c r="DD12" i="1"/>
  <c r="DF12" i="1" s="1"/>
  <c r="DD11" i="1"/>
  <c r="DF11" i="1" s="1"/>
  <c r="DD10" i="1"/>
  <c r="DF10" i="1" s="1"/>
  <c r="DD9" i="1"/>
  <c r="DF9" i="1" s="1"/>
  <c r="DD8" i="1"/>
  <c r="DF8" i="1" s="1"/>
  <c r="DD7" i="1"/>
  <c r="DF7" i="1" s="1"/>
  <c r="DF6" i="1"/>
  <c r="DD6" i="1"/>
  <c r="DD5" i="1"/>
  <c r="DF5" i="1" s="1"/>
  <c r="DD4" i="1"/>
  <c r="AR4" i="1"/>
  <c r="AQ4" i="1"/>
  <c r="DK13" i="1" l="1"/>
  <c r="DK4" i="1"/>
  <c r="DK7" i="1"/>
  <c r="DK9" i="1"/>
  <c r="DK12" i="1"/>
  <c r="DK6" i="1"/>
  <c r="DK10" i="1"/>
  <c r="DK14" i="1"/>
  <c r="BA26" i="36"/>
  <c r="AZ26" i="36"/>
  <c r="AY26" i="36"/>
  <c r="AX26" i="36"/>
  <c r="AW26" i="36"/>
  <c r="AV26" i="36"/>
  <c r="AU26" i="36"/>
  <c r="AT26" i="36"/>
  <c r="AS26" i="36"/>
  <c r="AR26" i="36"/>
  <c r="BF26" i="36" s="1"/>
  <c r="AP26" i="36"/>
  <c r="AO26" i="36"/>
  <c r="AG26" i="36"/>
  <c r="AI26" i="36" s="1"/>
  <c r="P26" i="36"/>
  <c r="O26" i="36"/>
  <c r="BA29" i="36"/>
  <c r="AZ29" i="36"/>
  <c r="AY29" i="36"/>
  <c r="AX29" i="36"/>
  <c r="AW29" i="36"/>
  <c r="AV29" i="36"/>
  <c r="AU29" i="36"/>
  <c r="AT29" i="36"/>
  <c r="AS29" i="36"/>
  <c r="AR29" i="36"/>
  <c r="BB29" i="36" s="1"/>
  <c r="AP29" i="36"/>
  <c r="AO29" i="36"/>
  <c r="AG29" i="36"/>
  <c r="AI29" i="36" s="1"/>
  <c r="AM29" i="36" s="1"/>
  <c r="P29" i="36"/>
  <c r="O29" i="36"/>
  <c r="BA36" i="36"/>
  <c r="AZ36" i="36"/>
  <c r="AY36" i="36"/>
  <c r="AX36" i="36"/>
  <c r="AW36" i="36"/>
  <c r="AV36" i="36"/>
  <c r="AU36" i="36"/>
  <c r="AT36" i="36"/>
  <c r="AS36" i="36"/>
  <c r="AR36" i="36"/>
  <c r="BB36" i="36" s="1"/>
  <c r="AP36" i="36"/>
  <c r="AO36" i="36"/>
  <c r="AG36" i="36"/>
  <c r="AI36" i="36" s="1"/>
  <c r="P36" i="36"/>
  <c r="O36" i="36"/>
  <c r="BA10" i="36"/>
  <c r="AZ10" i="36"/>
  <c r="AY10" i="36"/>
  <c r="AX10" i="36"/>
  <c r="AW10" i="36"/>
  <c r="AV10" i="36"/>
  <c r="AU10" i="36"/>
  <c r="AT10" i="36"/>
  <c r="AS10" i="36"/>
  <c r="AR10" i="36"/>
  <c r="BB10" i="36" s="1"/>
  <c r="AP10" i="36"/>
  <c r="AO10" i="36"/>
  <c r="AG10" i="36"/>
  <c r="AI10" i="36" s="1"/>
  <c r="P10" i="36"/>
  <c r="O10" i="36"/>
  <c r="BA33" i="36"/>
  <c r="AZ33" i="36"/>
  <c r="AY33" i="36"/>
  <c r="AX33" i="36"/>
  <c r="AW33" i="36"/>
  <c r="AV33" i="36"/>
  <c r="AU33" i="36"/>
  <c r="AT33" i="36"/>
  <c r="AS33" i="36"/>
  <c r="AR33" i="36"/>
  <c r="AP33" i="36"/>
  <c r="AO33" i="36"/>
  <c r="AG33" i="36"/>
  <c r="AI33" i="36" s="1"/>
  <c r="P33" i="36"/>
  <c r="O33" i="36"/>
  <c r="BA6" i="36"/>
  <c r="AZ6" i="36"/>
  <c r="AY6" i="36"/>
  <c r="AX6" i="36"/>
  <c r="AW6" i="36"/>
  <c r="AV6" i="36"/>
  <c r="AU6" i="36"/>
  <c r="AT6" i="36"/>
  <c r="AS6" i="36"/>
  <c r="AR6" i="36"/>
  <c r="BB6" i="36" s="1"/>
  <c r="AP6" i="36"/>
  <c r="AO6" i="36"/>
  <c r="AG6" i="36"/>
  <c r="AI6" i="36" s="1"/>
  <c r="AM6" i="36" s="1"/>
  <c r="P6" i="36"/>
  <c r="O6" i="36"/>
  <c r="BA20" i="36"/>
  <c r="AZ20" i="36"/>
  <c r="AY20" i="36"/>
  <c r="AX20" i="36"/>
  <c r="AW20" i="36"/>
  <c r="AV20" i="36"/>
  <c r="AU20" i="36"/>
  <c r="AT20" i="36"/>
  <c r="AS20" i="36"/>
  <c r="AR20" i="36"/>
  <c r="BB20" i="36" s="1"/>
  <c r="AP20" i="36"/>
  <c r="AO20" i="36"/>
  <c r="AG20" i="36"/>
  <c r="AI20" i="36" s="1"/>
  <c r="P20" i="36"/>
  <c r="O20" i="36"/>
  <c r="BA23" i="36"/>
  <c r="AZ23" i="36"/>
  <c r="AY23" i="36"/>
  <c r="AX23" i="36"/>
  <c r="AW23" i="36"/>
  <c r="AV23" i="36"/>
  <c r="AU23" i="36"/>
  <c r="AT23" i="36"/>
  <c r="AS23" i="36"/>
  <c r="AR23" i="36"/>
  <c r="BB23" i="36" s="1"/>
  <c r="AP23" i="36"/>
  <c r="AO23" i="36"/>
  <c r="AG23" i="36"/>
  <c r="AI23" i="36" s="1"/>
  <c r="P23" i="36"/>
  <c r="O23" i="36"/>
  <c r="BA11" i="36"/>
  <c r="AZ11" i="36"/>
  <c r="AY11" i="36"/>
  <c r="AX11" i="36"/>
  <c r="AW11" i="36"/>
  <c r="AV11" i="36"/>
  <c r="AU11" i="36"/>
  <c r="AT11" i="36"/>
  <c r="AS11" i="36"/>
  <c r="AR11" i="36"/>
  <c r="AP11" i="36"/>
  <c r="AO11" i="36"/>
  <c r="AG11" i="36"/>
  <c r="AI11" i="36" s="1"/>
  <c r="P11" i="36"/>
  <c r="O11" i="36"/>
  <c r="BB30" i="36"/>
  <c r="BA30" i="36"/>
  <c r="AZ30" i="36"/>
  <c r="AY30" i="36"/>
  <c r="AX30" i="36"/>
  <c r="AW30" i="36"/>
  <c r="AV30" i="36"/>
  <c r="AU30" i="36"/>
  <c r="AT30" i="36"/>
  <c r="AS30" i="36"/>
  <c r="AR30" i="36"/>
  <c r="AP30" i="36"/>
  <c r="AO30" i="36"/>
  <c r="AG30" i="36"/>
  <c r="AI30" i="36" s="1"/>
  <c r="AM30" i="36" s="1"/>
  <c r="P30" i="36"/>
  <c r="O30" i="36"/>
  <c r="BA16" i="36"/>
  <c r="AZ16" i="36"/>
  <c r="AY16" i="36"/>
  <c r="AX16" i="36"/>
  <c r="AW16" i="36"/>
  <c r="AV16" i="36"/>
  <c r="AU16" i="36"/>
  <c r="AT16" i="36"/>
  <c r="AS16" i="36"/>
  <c r="AR16" i="36"/>
  <c r="BB16" i="36" s="1"/>
  <c r="AP16" i="36"/>
  <c r="AO16" i="36"/>
  <c r="AG16" i="36"/>
  <c r="AI16" i="36" s="1"/>
  <c r="P16" i="36"/>
  <c r="O16" i="36"/>
  <c r="BA15" i="36"/>
  <c r="AZ15" i="36"/>
  <c r="AY15" i="36"/>
  <c r="AX15" i="36"/>
  <c r="AW15" i="36"/>
  <c r="AV15" i="36"/>
  <c r="AU15" i="36"/>
  <c r="AT15" i="36"/>
  <c r="AS15" i="36"/>
  <c r="AR15" i="36"/>
  <c r="BB15" i="36" s="1"/>
  <c r="AP15" i="36"/>
  <c r="AO15" i="36"/>
  <c r="AG15" i="36"/>
  <c r="AI15" i="36" s="1"/>
  <c r="P15" i="36"/>
  <c r="O15" i="36"/>
  <c r="BA22" i="36"/>
  <c r="AZ22" i="36"/>
  <c r="AY22" i="36"/>
  <c r="AX22" i="36"/>
  <c r="AW22" i="36"/>
  <c r="AV22" i="36"/>
  <c r="AU22" i="36"/>
  <c r="AT22" i="36"/>
  <c r="AS22" i="36"/>
  <c r="AR22" i="36"/>
  <c r="AP22" i="36"/>
  <c r="AO22" i="36"/>
  <c r="AG22" i="36"/>
  <c r="AI22" i="36" s="1"/>
  <c r="Z22" i="36"/>
  <c r="P22" i="36"/>
  <c r="O22" i="36"/>
  <c r="BA19" i="36"/>
  <c r="AZ19" i="36"/>
  <c r="AY19" i="36"/>
  <c r="AX19" i="36"/>
  <c r="AW19" i="36"/>
  <c r="AV19" i="36"/>
  <c r="AU19" i="36"/>
  <c r="AT19" i="36"/>
  <c r="AS19" i="36"/>
  <c r="AR19" i="36"/>
  <c r="AP19" i="36"/>
  <c r="AO19" i="36"/>
  <c r="AG19" i="36"/>
  <c r="AI19" i="36" s="1"/>
  <c r="P19" i="36"/>
  <c r="O19" i="36"/>
  <c r="BA5" i="36"/>
  <c r="AZ5" i="36"/>
  <c r="AY5" i="36"/>
  <c r="AX5" i="36"/>
  <c r="AW5" i="36"/>
  <c r="AV5" i="36"/>
  <c r="AU5" i="36"/>
  <c r="AT5" i="36"/>
  <c r="AS5" i="36"/>
  <c r="AR5" i="36"/>
  <c r="AP5" i="36"/>
  <c r="AO5" i="36"/>
  <c r="AI5" i="36"/>
  <c r="AM5" i="36" s="1"/>
  <c r="AG5" i="36"/>
  <c r="P5" i="36"/>
  <c r="O5" i="36"/>
  <c r="BB13" i="36"/>
  <c r="BA13" i="36"/>
  <c r="AZ13" i="36"/>
  <c r="AY13" i="36"/>
  <c r="AX13" i="36"/>
  <c r="AW13" i="36"/>
  <c r="AV13" i="36"/>
  <c r="AU13" i="36"/>
  <c r="AT13" i="36"/>
  <c r="AS13" i="36"/>
  <c r="AR13" i="36"/>
  <c r="AP13" i="36"/>
  <c r="AO13" i="36"/>
  <c r="AG13" i="36"/>
  <c r="AI13" i="36" s="1"/>
  <c r="X13" i="36"/>
  <c r="P13" i="36"/>
  <c r="O13" i="36"/>
  <c r="BA9" i="36"/>
  <c r="AZ9" i="36"/>
  <c r="AY9" i="36"/>
  <c r="AX9" i="36"/>
  <c r="AW9" i="36"/>
  <c r="AV9" i="36"/>
  <c r="AU9" i="36"/>
  <c r="AT9" i="36"/>
  <c r="AS9" i="36"/>
  <c r="AR9" i="36"/>
  <c r="BB9" i="36" s="1"/>
  <c r="AP9" i="36"/>
  <c r="AO9" i="36"/>
  <c r="AG9" i="36"/>
  <c r="AI9" i="36" s="1"/>
  <c r="X9" i="36"/>
  <c r="P9" i="36"/>
  <c r="O9" i="36"/>
  <c r="BA35" i="36"/>
  <c r="AZ35" i="36"/>
  <c r="AY35" i="36"/>
  <c r="AX35" i="36"/>
  <c r="AW35" i="36"/>
  <c r="AV35" i="36"/>
  <c r="AU35" i="36"/>
  <c r="AT35" i="36"/>
  <c r="AS35" i="36"/>
  <c r="AR35" i="36"/>
  <c r="BB35" i="36" s="1"/>
  <c r="AP35" i="36"/>
  <c r="AO35" i="36"/>
  <c r="AG35" i="36"/>
  <c r="AI35" i="36" s="1"/>
  <c r="X35" i="36"/>
  <c r="P35" i="36"/>
  <c r="O35" i="36"/>
  <c r="BA32" i="36"/>
  <c r="AZ32" i="36"/>
  <c r="AY32" i="36"/>
  <c r="AX32" i="36"/>
  <c r="AW32" i="36"/>
  <c r="AV32" i="36"/>
  <c r="AU32" i="36"/>
  <c r="AT32" i="36"/>
  <c r="AS32" i="36"/>
  <c r="AR32" i="36"/>
  <c r="BB32" i="36" s="1"/>
  <c r="AP32" i="36"/>
  <c r="AO32" i="36"/>
  <c r="AG32" i="36"/>
  <c r="AI32" i="36" s="1"/>
  <c r="AK32" i="36" s="1"/>
  <c r="X32" i="36"/>
  <c r="P32" i="36"/>
  <c r="O32" i="36"/>
  <c r="BA28" i="36"/>
  <c r="AZ28" i="36"/>
  <c r="AY28" i="36"/>
  <c r="AX28" i="36"/>
  <c r="AW28" i="36"/>
  <c r="AV28" i="36"/>
  <c r="AU28" i="36"/>
  <c r="AT28" i="36"/>
  <c r="AS28" i="36"/>
  <c r="AR28" i="36"/>
  <c r="BB28" i="36" s="1"/>
  <c r="AP28" i="36"/>
  <c r="AO28" i="36"/>
  <c r="AG28" i="36"/>
  <c r="AI28" i="36" s="1"/>
  <c r="AK28" i="36" s="1"/>
  <c r="Z28" i="36"/>
  <c r="P28" i="36"/>
  <c r="O28" i="36"/>
  <c r="BA24" i="36"/>
  <c r="AZ24" i="36"/>
  <c r="AY24" i="36"/>
  <c r="AX24" i="36"/>
  <c r="AW24" i="36"/>
  <c r="AV24" i="36"/>
  <c r="AU24" i="36"/>
  <c r="AT24" i="36"/>
  <c r="AS24" i="36"/>
  <c r="AR24" i="36"/>
  <c r="BB24" i="36" s="1"/>
  <c r="AP24" i="36"/>
  <c r="AO24" i="36"/>
  <c r="AI24" i="36"/>
  <c r="AK24" i="36" s="1"/>
  <c r="AG24" i="36"/>
  <c r="P24" i="36"/>
  <c r="O24" i="36"/>
  <c r="BA25" i="36"/>
  <c r="AZ25" i="36"/>
  <c r="AY25" i="36"/>
  <c r="AX25" i="36"/>
  <c r="AW25" i="36"/>
  <c r="AV25" i="36"/>
  <c r="AU25" i="36"/>
  <c r="AT25" i="36"/>
  <c r="AS25" i="36"/>
  <c r="BF25" i="36" s="1"/>
  <c r="AR25" i="36"/>
  <c r="BB25" i="36" s="1"/>
  <c r="AP25" i="36"/>
  <c r="AO25" i="36"/>
  <c r="AG25" i="36"/>
  <c r="AI25" i="36" s="1"/>
  <c r="P25" i="36"/>
  <c r="O25" i="36"/>
  <c r="BA21" i="36"/>
  <c r="AZ21" i="36"/>
  <c r="AY21" i="36"/>
  <c r="AX21" i="36"/>
  <c r="AW21" i="36"/>
  <c r="AV21" i="36"/>
  <c r="AU21" i="36"/>
  <c r="AT21" i="36"/>
  <c r="AS21" i="36"/>
  <c r="AR21" i="36"/>
  <c r="BF21" i="36" s="1"/>
  <c r="AP21" i="36"/>
  <c r="AO21" i="36"/>
  <c r="AG21" i="36"/>
  <c r="AI21" i="36" s="1"/>
  <c r="AE21" i="36"/>
  <c r="P21" i="36"/>
  <c r="O21" i="36"/>
  <c r="BA14" i="36"/>
  <c r="AZ14" i="36"/>
  <c r="AY14" i="36"/>
  <c r="AX14" i="36"/>
  <c r="AW14" i="36"/>
  <c r="AV14" i="36"/>
  <c r="AU14" i="36"/>
  <c r="AT14" i="36"/>
  <c r="AS14" i="36"/>
  <c r="AR14" i="36"/>
  <c r="BF14" i="36" s="1"/>
  <c r="AP14" i="36"/>
  <c r="AO14" i="36"/>
  <c r="AG14" i="36"/>
  <c r="AI14" i="36" s="1"/>
  <c r="AE14" i="36"/>
  <c r="P14" i="36"/>
  <c r="O14" i="36"/>
  <c r="BA31" i="36"/>
  <c r="AZ31" i="36"/>
  <c r="AY31" i="36"/>
  <c r="AX31" i="36"/>
  <c r="AW31" i="36"/>
  <c r="AV31" i="36"/>
  <c r="AU31" i="36"/>
  <c r="AT31" i="36"/>
  <c r="AS31" i="36"/>
  <c r="AR31" i="36"/>
  <c r="BF31" i="36" s="1"/>
  <c r="AP31" i="36"/>
  <c r="AO31" i="36"/>
  <c r="AG31" i="36"/>
  <c r="AI31" i="36" s="1"/>
  <c r="AE31" i="36"/>
  <c r="P31" i="36"/>
  <c r="O31" i="36"/>
  <c r="BA27" i="36"/>
  <c r="AZ27" i="36"/>
  <c r="AY27" i="36"/>
  <c r="AX27" i="36"/>
  <c r="AW27" i="36"/>
  <c r="AV27" i="36"/>
  <c r="AU27" i="36"/>
  <c r="AT27" i="36"/>
  <c r="AS27" i="36"/>
  <c r="AR27" i="36"/>
  <c r="BF27" i="36" s="1"/>
  <c r="AP27" i="36"/>
  <c r="AO27" i="36"/>
  <c r="AG27" i="36"/>
  <c r="AI27" i="36" s="1"/>
  <c r="AE27" i="36"/>
  <c r="P27" i="36"/>
  <c r="O27" i="36"/>
  <c r="BA12" i="36"/>
  <c r="AZ12" i="36"/>
  <c r="AY12" i="36"/>
  <c r="AX12" i="36"/>
  <c r="AW12" i="36"/>
  <c r="AV12" i="36"/>
  <c r="AU12" i="36"/>
  <c r="AT12" i="36"/>
  <c r="AS12" i="36"/>
  <c r="AR12" i="36"/>
  <c r="AP12" i="36"/>
  <c r="AO12" i="36"/>
  <c r="AG12" i="36"/>
  <c r="AI12" i="36" s="1"/>
  <c r="AE12" i="36"/>
  <c r="P12" i="36"/>
  <c r="O12" i="36"/>
  <c r="BA8" i="36"/>
  <c r="AZ8" i="36"/>
  <c r="AY8" i="36"/>
  <c r="AX8" i="36"/>
  <c r="AW8" i="36"/>
  <c r="AV8" i="36"/>
  <c r="AU8" i="36"/>
  <c r="AT8" i="36"/>
  <c r="AS8" i="36"/>
  <c r="AR8" i="36"/>
  <c r="BF8" i="36" s="1"/>
  <c r="AP8" i="36"/>
  <c r="AO8" i="36"/>
  <c r="AG8" i="36"/>
  <c r="AI8" i="36" s="1"/>
  <c r="AE8" i="36"/>
  <c r="P8" i="36"/>
  <c r="O8" i="36"/>
  <c r="BA34" i="36"/>
  <c r="AZ34" i="36"/>
  <c r="AY34" i="36"/>
  <c r="AX34" i="36"/>
  <c r="AW34" i="36"/>
  <c r="AV34" i="36"/>
  <c r="AU34" i="36"/>
  <c r="AT34" i="36"/>
  <c r="AS34" i="36"/>
  <c r="AR34" i="36"/>
  <c r="BF34" i="36" s="1"/>
  <c r="AP34" i="36"/>
  <c r="AO34" i="36"/>
  <c r="AG34" i="36"/>
  <c r="AI34" i="36" s="1"/>
  <c r="AM34" i="36" s="1"/>
  <c r="AE34" i="36"/>
  <c r="P34" i="36"/>
  <c r="O34" i="36"/>
  <c r="BB4" i="36"/>
  <c r="BA4" i="36"/>
  <c r="AZ4" i="36"/>
  <c r="AY4" i="36"/>
  <c r="AX4" i="36"/>
  <c r="AW4" i="36"/>
  <c r="AV4" i="36"/>
  <c r="AU4" i="36"/>
  <c r="AT4" i="36"/>
  <c r="AS4" i="36"/>
  <c r="AR4" i="36"/>
  <c r="AP4" i="36"/>
  <c r="AO4" i="36"/>
  <c r="AG4" i="36"/>
  <c r="AI4" i="36" s="1"/>
  <c r="AE4" i="36"/>
  <c r="P4" i="36"/>
  <c r="O4" i="36"/>
  <c r="BB18" i="36"/>
  <c r="BA18" i="36"/>
  <c r="AZ18" i="36"/>
  <c r="AY18" i="36"/>
  <c r="AX18" i="36"/>
  <c r="AW18" i="36"/>
  <c r="AV18" i="36"/>
  <c r="AU18" i="36"/>
  <c r="AT18" i="36"/>
  <c r="AS18" i="36"/>
  <c r="AR18" i="36"/>
  <c r="AP18" i="36"/>
  <c r="AO18" i="36"/>
  <c r="AG18" i="36"/>
  <c r="AI18" i="36" s="1"/>
  <c r="AM18" i="36" s="1"/>
  <c r="P18" i="36"/>
  <c r="O18" i="36"/>
  <c r="BA17" i="36"/>
  <c r="AZ17" i="36"/>
  <c r="AY17" i="36"/>
  <c r="AX17" i="36"/>
  <c r="AW17" i="36"/>
  <c r="AV17" i="36"/>
  <c r="AU17" i="36"/>
  <c r="AT17" i="36"/>
  <c r="AS17" i="36"/>
  <c r="AR17" i="36"/>
  <c r="AP17" i="36"/>
  <c r="AO17" i="36"/>
  <c r="AG17" i="36"/>
  <c r="AI17" i="36" s="1"/>
  <c r="AM17" i="36" s="1"/>
  <c r="AE17" i="36"/>
  <c r="P17" i="36"/>
  <c r="O17" i="36"/>
  <c r="BA7" i="36"/>
  <c r="AZ7" i="36"/>
  <c r="AY7" i="36"/>
  <c r="AX7" i="36"/>
  <c r="AW7" i="36"/>
  <c r="AV7" i="36"/>
  <c r="AU7" i="36"/>
  <c r="AT7" i="36"/>
  <c r="AS7" i="36"/>
  <c r="AR7" i="36"/>
  <c r="BB7" i="36" s="1"/>
  <c r="AP7" i="36"/>
  <c r="AO7" i="36"/>
  <c r="AG7" i="36"/>
  <c r="AI7" i="36" s="1"/>
  <c r="AM7" i="36" s="1"/>
  <c r="AE7" i="36"/>
  <c r="P7" i="36"/>
  <c r="O7" i="36"/>
  <c r="DK8" i="1" l="1"/>
  <c r="DK11" i="1"/>
  <c r="DK5" i="1"/>
  <c r="BF12" i="36"/>
  <c r="BD4" i="36"/>
  <c r="BE4" i="36" s="1"/>
  <c r="BD36" i="36"/>
  <c r="BE36" i="36" s="1"/>
  <c r="AM4" i="36"/>
  <c r="AK4" i="36"/>
  <c r="AN4" i="36" s="1"/>
  <c r="BB17" i="36"/>
  <c r="BD17" i="36" s="1"/>
  <c r="BE17" i="36" s="1"/>
  <c r="BD28" i="36"/>
  <c r="BE28" i="36" s="1"/>
  <c r="BD9" i="36"/>
  <c r="BE9" i="36" s="1"/>
  <c r="BD16" i="36"/>
  <c r="BE16" i="36" s="1"/>
  <c r="BD30" i="36"/>
  <c r="BE30" i="36" s="1"/>
  <c r="BF11" i="36"/>
  <c r="BF18" i="36"/>
  <c r="BD7" i="36"/>
  <c r="BE7" i="36" s="1"/>
  <c r="AK18" i="36"/>
  <c r="AN18" i="36" s="1"/>
  <c r="BD13" i="36"/>
  <c r="BE13" i="36" s="1"/>
  <c r="BF19" i="36"/>
  <c r="BF22" i="36"/>
  <c r="BD6" i="36"/>
  <c r="BE6" i="36" s="1"/>
  <c r="BD24" i="36"/>
  <c r="BE24" i="36" s="1"/>
  <c r="BD32" i="36"/>
  <c r="BE32" i="36" s="1"/>
  <c r="BD29" i="36"/>
  <c r="BE29" i="36" s="1"/>
  <c r="BF17" i="36"/>
  <c r="BD18" i="36"/>
  <c r="BE18" i="36" s="1"/>
  <c r="BF4" i="36"/>
  <c r="AK34" i="36"/>
  <c r="BD35" i="36"/>
  <c r="BE35" i="36" s="1"/>
  <c r="BB5" i="36"/>
  <c r="BD5" i="36" s="1"/>
  <c r="BE5" i="36" s="1"/>
  <c r="BD20" i="36"/>
  <c r="BE20" i="36" s="1"/>
  <c r="BF6" i="36"/>
  <c r="BF33" i="36"/>
  <c r="AM19" i="36"/>
  <c r="AK19" i="36"/>
  <c r="AN34" i="36"/>
  <c r="AM8" i="36"/>
  <c r="AK8" i="36"/>
  <c r="AM12" i="36"/>
  <c r="AK12" i="36"/>
  <c r="AM27" i="36"/>
  <c r="AK27" i="36"/>
  <c r="AM31" i="36"/>
  <c r="AK31" i="36"/>
  <c r="AM14" i="36"/>
  <c r="AK14" i="36"/>
  <c r="AM21" i="36"/>
  <c r="AK21" i="36"/>
  <c r="AK20" i="36"/>
  <c r="AM20" i="36"/>
  <c r="AM10" i="36"/>
  <c r="AK10" i="36"/>
  <c r="AN10" i="36" s="1"/>
  <c r="AM26" i="36"/>
  <c r="AK26" i="36"/>
  <c r="AK9" i="36"/>
  <c r="AM9" i="36"/>
  <c r="AK16" i="36"/>
  <c r="AM16" i="36"/>
  <c r="AM23" i="36"/>
  <c r="AK23" i="36"/>
  <c r="AN23" i="36" s="1"/>
  <c r="AM33" i="36"/>
  <c r="AK33" i="36"/>
  <c r="AM15" i="36"/>
  <c r="AK15" i="36"/>
  <c r="AN15" i="36" s="1"/>
  <c r="AM11" i="36"/>
  <c r="AK11" i="36"/>
  <c r="AK13" i="36"/>
  <c r="AM13" i="36"/>
  <c r="AM22" i="36"/>
  <c r="AK22" i="36"/>
  <c r="AK36" i="36"/>
  <c r="AM36" i="36"/>
  <c r="AM25" i="36"/>
  <c r="AK25" i="36"/>
  <c r="AK35" i="36"/>
  <c r="AM35" i="36"/>
  <c r="BF7" i="36"/>
  <c r="BB34" i="36"/>
  <c r="BD34" i="36" s="1"/>
  <c r="BE34" i="36" s="1"/>
  <c r="BB8" i="36"/>
  <c r="BD8" i="36" s="1"/>
  <c r="BE8" i="36" s="1"/>
  <c r="BB12" i="36"/>
  <c r="BD12" i="36" s="1"/>
  <c r="BE12" i="36" s="1"/>
  <c r="BB27" i="36"/>
  <c r="BB31" i="36"/>
  <c r="BD31" i="36" s="1"/>
  <c r="BE31" i="36" s="1"/>
  <c r="BB14" i="36"/>
  <c r="BD14" i="36" s="1"/>
  <c r="BE14" i="36" s="1"/>
  <c r="BB21" i="36"/>
  <c r="BD21" i="36" s="1"/>
  <c r="BE21" i="36" s="1"/>
  <c r="BD25" i="36"/>
  <c r="BE25" i="36" s="1"/>
  <c r="AM24" i="36"/>
  <c r="AN24" i="36" s="1"/>
  <c r="AM28" i="36"/>
  <c r="AN28" i="36" s="1"/>
  <c r="AM32" i="36"/>
  <c r="AN32" i="36" s="1"/>
  <c r="BF5" i="36"/>
  <c r="BB19" i="36"/>
  <c r="BD19" i="36" s="1"/>
  <c r="BE19" i="36" s="1"/>
  <c r="BB22" i="36"/>
  <c r="BD22" i="36" s="1"/>
  <c r="BE22" i="36" s="1"/>
  <c r="BD15" i="36"/>
  <c r="BE15" i="36" s="1"/>
  <c r="BF30" i="36"/>
  <c r="BB11" i="36"/>
  <c r="BD11" i="36" s="1"/>
  <c r="BE11" i="36" s="1"/>
  <c r="BD23" i="36"/>
  <c r="BE23" i="36" s="1"/>
  <c r="BB33" i="36"/>
  <c r="BD33" i="36" s="1"/>
  <c r="BE33" i="36" s="1"/>
  <c r="BD10" i="36"/>
  <c r="BE10" i="36" s="1"/>
  <c r="BF29" i="36"/>
  <c r="BB26" i="36"/>
  <c r="BD26" i="36" s="1"/>
  <c r="BE26" i="36" s="1"/>
  <c r="BD27" i="36"/>
  <c r="BE27" i="36" s="1"/>
  <c r="BF24" i="36"/>
  <c r="BF28" i="36"/>
  <c r="BF32" i="36"/>
  <c r="BF35" i="36"/>
  <c r="BF9" i="36"/>
  <c r="BF13" i="36"/>
  <c r="BF16" i="36"/>
  <c r="BF20" i="36"/>
  <c r="BF36" i="36"/>
  <c r="AK17" i="36"/>
  <c r="AN17" i="36" s="1"/>
  <c r="AK5" i="36"/>
  <c r="AN5" i="36" s="1"/>
  <c r="BF15" i="36"/>
  <c r="AK30" i="36"/>
  <c r="AN30" i="36" s="1"/>
  <c r="BF23" i="36"/>
  <c r="AK6" i="36"/>
  <c r="AN6" i="36" s="1"/>
  <c r="BF10" i="36"/>
  <c r="AK29" i="36"/>
  <c r="AN29" i="36" s="1"/>
  <c r="AK7" i="36"/>
  <c r="AN7" i="36" s="1"/>
  <c r="AN26" i="36" l="1"/>
  <c r="AN14" i="36"/>
  <c r="AN27" i="36"/>
  <c r="AN8" i="36"/>
  <c r="AN25" i="36"/>
  <c r="AN22" i="36"/>
  <c r="AN11" i="36"/>
  <c r="AN33" i="36"/>
  <c r="AN19" i="36"/>
  <c r="AN21" i="36"/>
  <c r="AN31" i="36"/>
  <c r="AN12" i="36"/>
  <c r="AN35" i="36"/>
  <c r="AN13" i="36"/>
  <c r="AN16" i="36"/>
  <c r="AN9" i="36"/>
  <c r="AN20" i="36"/>
  <c r="AN36" i="36"/>
  <c r="AT49" i="1" l="1"/>
  <c r="AT46" i="1"/>
  <c r="AT43" i="1"/>
  <c r="AT40" i="1"/>
  <c r="AT37" i="1"/>
  <c r="AT34" i="1"/>
  <c r="AT31" i="1"/>
  <c r="AT28" i="1"/>
  <c r="AT25" i="1"/>
  <c r="AT22" i="1"/>
  <c r="AT19" i="1"/>
  <c r="J63" i="32" l="1"/>
  <c r="CG4" i="1" l="1"/>
  <c r="AU4" i="1"/>
  <c r="AV4" i="1"/>
  <c r="AV19" i="1" s="1"/>
  <c r="AW4" i="1"/>
  <c r="AX4" i="1"/>
  <c r="AX19" i="1" s="1"/>
  <c r="AY4" i="1"/>
  <c r="AY19" i="1" s="1"/>
  <c r="AZ4" i="1"/>
  <c r="AZ20" i="1" s="1"/>
  <c r="BA4" i="1"/>
  <c r="BB4" i="1"/>
  <c r="BC4" i="1"/>
  <c r="BC20" i="1" s="1"/>
  <c r="AU5" i="1"/>
  <c r="AQ5" i="1"/>
  <c r="AR5" i="1"/>
  <c r="AU6" i="1"/>
  <c r="AQ6" i="1"/>
  <c r="BF6" i="1" s="1"/>
  <c r="BF26" i="1" s="1"/>
  <c r="AR6" i="1"/>
  <c r="AU7" i="1"/>
  <c r="AU28" i="1" s="1"/>
  <c r="AQ7" i="1"/>
  <c r="BF7" i="1" s="1"/>
  <c r="BF29" i="1" s="1"/>
  <c r="AR7" i="1"/>
  <c r="AU8" i="1"/>
  <c r="AQ8" i="1"/>
  <c r="BF8" i="1" s="1"/>
  <c r="BF32" i="1" s="1"/>
  <c r="AR8" i="1"/>
  <c r="AU9" i="1"/>
  <c r="AQ9" i="1"/>
  <c r="AR9" i="1"/>
  <c r="AU10" i="1"/>
  <c r="AQ10" i="1"/>
  <c r="AR10" i="1"/>
  <c r="AU11" i="1"/>
  <c r="AU40" i="1" s="1"/>
  <c r="AQ11" i="1"/>
  <c r="AR11" i="1"/>
  <c r="AU12" i="1"/>
  <c r="AQ12" i="1"/>
  <c r="AR12" i="1"/>
  <c r="AU13" i="1"/>
  <c r="AQ13" i="1"/>
  <c r="AR13" i="1"/>
  <c r="AU14" i="1"/>
  <c r="AQ14" i="1"/>
  <c r="AR14" i="1"/>
  <c r="BF9" i="1"/>
  <c r="BF35" i="1" s="1"/>
  <c r="BF5" i="1"/>
  <c r="BF23" i="1" s="1"/>
  <c r="BF4" i="1"/>
  <c r="BF20" i="1" s="1"/>
  <c r="BD14" i="1"/>
  <c r="BD50" i="1" s="1"/>
  <c r="BC14" i="1"/>
  <c r="BC50" i="1" s="1"/>
  <c r="BB14" i="1"/>
  <c r="BB50" i="1" s="1"/>
  <c r="BA14" i="1"/>
  <c r="BA50" i="1" s="1"/>
  <c r="BD13" i="1"/>
  <c r="BD47" i="1" s="1"/>
  <c r="BC13" i="1"/>
  <c r="BC47" i="1" s="1"/>
  <c r="BB13" i="1"/>
  <c r="BB47" i="1" s="1"/>
  <c r="BA13" i="1"/>
  <c r="BA47" i="1" s="1"/>
  <c r="BD12" i="1"/>
  <c r="BD44" i="1" s="1"/>
  <c r="BC12" i="1"/>
  <c r="BC44" i="1" s="1"/>
  <c r="BB12" i="1"/>
  <c r="BB44" i="1" s="1"/>
  <c r="BA12" i="1"/>
  <c r="BA44" i="1" s="1"/>
  <c r="BD11" i="1"/>
  <c r="BD41" i="1" s="1"/>
  <c r="BC11" i="1"/>
  <c r="BC41" i="1" s="1"/>
  <c r="BB11" i="1"/>
  <c r="BB41" i="1" s="1"/>
  <c r="BA11" i="1"/>
  <c r="BA41" i="1" s="1"/>
  <c r="BD10" i="1"/>
  <c r="BD38" i="1" s="1"/>
  <c r="BC10" i="1"/>
  <c r="BC38" i="1" s="1"/>
  <c r="BB10" i="1"/>
  <c r="BB38" i="1" s="1"/>
  <c r="BA10" i="1"/>
  <c r="BA38" i="1" s="1"/>
  <c r="BD9" i="1"/>
  <c r="BD35" i="1" s="1"/>
  <c r="BC9" i="1"/>
  <c r="BC35" i="1" s="1"/>
  <c r="BB9" i="1"/>
  <c r="BB35" i="1" s="1"/>
  <c r="BA9" i="1"/>
  <c r="BA35" i="1" s="1"/>
  <c r="BD8" i="1"/>
  <c r="BD32" i="1" s="1"/>
  <c r="BC8" i="1"/>
  <c r="BC32" i="1" s="1"/>
  <c r="BB8" i="1"/>
  <c r="BB32" i="1" s="1"/>
  <c r="BA8" i="1"/>
  <c r="BA32" i="1" s="1"/>
  <c r="BD7" i="1"/>
  <c r="BD29" i="1" s="1"/>
  <c r="BC7" i="1"/>
  <c r="BC29" i="1" s="1"/>
  <c r="BB7" i="1"/>
  <c r="BB29" i="1" s="1"/>
  <c r="BA7" i="1"/>
  <c r="BA29" i="1" s="1"/>
  <c r="BD6" i="1"/>
  <c r="BD26" i="1" s="1"/>
  <c r="BC6" i="1"/>
  <c r="BC26" i="1" s="1"/>
  <c r="BB6" i="1"/>
  <c r="BB26" i="1" s="1"/>
  <c r="BA6" i="1"/>
  <c r="BA26" i="1" s="1"/>
  <c r="BD5" i="1"/>
  <c r="BD23" i="1" s="1"/>
  <c r="BC5" i="1"/>
  <c r="BC23" i="1" s="1"/>
  <c r="BB5" i="1"/>
  <c r="BB23" i="1" s="1"/>
  <c r="BA5" i="1"/>
  <c r="BA23" i="1" s="1"/>
  <c r="BD4" i="1"/>
  <c r="BD20" i="1" s="1"/>
  <c r="BB20" i="1"/>
  <c r="BA20" i="1"/>
  <c r="AZ14" i="1"/>
  <c r="AZ50" i="1" s="1"/>
  <c r="AZ13" i="1"/>
  <c r="AZ47" i="1" s="1"/>
  <c r="AZ12" i="1"/>
  <c r="AZ44" i="1" s="1"/>
  <c r="AZ11" i="1"/>
  <c r="AZ41" i="1" s="1"/>
  <c r="AZ10" i="1"/>
  <c r="AZ38" i="1" s="1"/>
  <c r="AZ9" i="1"/>
  <c r="AZ35" i="1" s="1"/>
  <c r="AZ8" i="1"/>
  <c r="AZ32" i="1" s="1"/>
  <c r="AZ7" i="1"/>
  <c r="AZ29" i="1" s="1"/>
  <c r="AZ6" i="1"/>
  <c r="AZ26" i="1" s="1"/>
  <c r="AZ5" i="1"/>
  <c r="AZ23" i="1" s="1"/>
  <c r="AW19" i="1"/>
  <c r="AV5" i="1"/>
  <c r="AV22" i="1" s="1"/>
  <c r="AW5" i="1"/>
  <c r="AW22" i="1" s="1"/>
  <c r="AX5" i="1"/>
  <c r="AX22" i="1" s="1"/>
  <c r="AY5" i="1"/>
  <c r="AY22" i="1" s="1"/>
  <c r="AV6" i="1"/>
  <c r="AV25" i="1" s="1"/>
  <c r="AW6" i="1"/>
  <c r="AW25" i="1" s="1"/>
  <c r="AX6" i="1"/>
  <c r="AX25" i="1" s="1"/>
  <c r="AY6" i="1"/>
  <c r="AY25" i="1" s="1"/>
  <c r="AV7" i="1"/>
  <c r="AV28" i="1" s="1"/>
  <c r="AW7" i="1"/>
  <c r="AW28" i="1" s="1"/>
  <c r="AX7" i="1"/>
  <c r="AX28" i="1" s="1"/>
  <c r="AY7" i="1"/>
  <c r="AY28" i="1" s="1"/>
  <c r="AV8" i="1"/>
  <c r="AV31" i="1" s="1"/>
  <c r="AW8" i="1"/>
  <c r="AW31" i="1" s="1"/>
  <c r="AX8" i="1"/>
  <c r="AX31" i="1" s="1"/>
  <c r="AY8" i="1"/>
  <c r="AY31" i="1" s="1"/>
  <c r="AV9" i="1"/>
  <c r="AV34" i="1" s="1"/>
  <c r="AW9" i="1"/>
  <c r="AW34" i="1" s="1"/>
  <c r="AX9" i="1"/>
  <c r="AX34" i="1" s="1"/>
  <c r="AY9" i="1"/>
  <c r="AY34" i="1" s="1"/>
  <c r="AV10" i="1"/>
  <c r="AV37" i="1" s="1"/>
  <c r="AW10" i="1"/>
  <c r="AW37" i="1" s="1"/>
  <c r="AX10" i="1"/>
  <c r="AX37" i="1" s="1"/>
  <c r="AY10" i="1"/>
  <c r="AY37" i="1" s="1"/>
  <c r="AV11" i="1"/>
  <c r="AV40" i="1" s="1"/>
  <c r="AW11" i="1"/>
  <c r="AW40" i="1" s="1"/>
  <c r="AX11" i="1"/>
  <c r="AX40" i="1" s="1"/>
  <c r="AY11" i="1"/>
  <c r="AY40" i="1" s="1"/>
  <c r="AV12" i="1"/>
  <c r="AV43" i="1" s="1"/>
  <c r="AW12" i="1"/>
  <c r="AW43" i="1" s="1"/>
  <c r="AX12" i="1"/>
  <c r="AX43" i="1" s="1"/>
  <c r="AY12" i="1"/>
  <c r="AY43" i="1" s="1"/>
  <c r="AV13" i="1"/>
  <c r="AV46" i="1" s="1"/>
  <c r="AW13" i="1"/>
  <c r="AW46" i="1" s="1"/>
  <c r="AX13" i="1"/>
  <c r="AX46" i="1" s="1"/>
  <c r="AY13" i="1"/>
  <c r="AY46" i="1" s="1"/>
  <c r="AV14" i="1"/>
  <c r="AV49" i="1" s="1"/>
  <c r="AW14" i="1"/>
  <c r="AW49" i="1" s="1"/>
  <c r="AX14" i="1"/>
  <c r="AX49" i="1" s="1"/>
  <c r="AY14" i="1"/>
  <c r="AY49" i="1" s="1"/>
  <c r="AU43" i="1"/>
  <c r="AU31" i="1"/>
  <c r="AU22" i="1"/>
  <c r="AN5" i="1"/>
  <c r="AN6" i="1"/>
  <c r="AN7" i="1"/>
  <c r="AN8" i="1"/>
  <c r="AN9" i="1"/>
  <c r="AN10" i="1"/>
  <c r="AN11" i="1"/>
  <c r="AN12" i="1"/>
  <c r="AN13" i="1"/>
  <c r="AN14" i="1"/>
  <c r="AN4" i="1"/>
  <c r="S5" i="1"/>
  <c r="S6" i="1"/>
  <c r="S7" i="1"/>
  <c r="S8" i="1"/>
  <c r="S9" i="1"/>
  <c r="S10" i="1"/>
  <c r="S11" i="1"/>
  <c r="S12" i="1"/>
  <c r="S13" i="1"/>
  <c r="S14" i="1"/>
  <c r="S4" i="1"/>
  <c r="R4" i="1"/>
  <c r="R5" i="1"/>
  <c r="R6" i="1"/>
  <c r="R7" i="1"/>
  <c r="R8" i="1"/>
  <c r="R9" i="1"/>
  <c r="R10" i="1"/>
  <c r="R11" i="1"/>
  <c r="R12" i="1"/>
  <c r="R13" i="1"/>
  <c r="R14" i="1"/>
  <c r="AO7" i="1"/>
  <c r="CT7" i="1"/>
  <c r="CV7" i="1" s="1"/>
  <c r="CG7" i="1"/>
  <c r="CT5" i="1"/>
  <c r="CV5" i="1" s="1"/>
  <c r="CT8" i="1"/>
  <c r="CV8" i="1" s="1"/>
  <c r="CT9" i="1"/>
  <c r="CV9" i="1" s="1"/>
  <c r="CT10" i="1"/>
  <c r="CV10" i="1" s="1"/>
  <c r="CT11" i="1"/>
  <c r="CV11" i="1" s="1"/>
  <c r="CT12" i="1"/>
  <c r="CV12" i="1" s="1"/>
  <c r="CX12" i="1" s="1"/>
  <c r="CT13" i="1"/>
  <c r="CV13" i="1" s="1"/>
  <c r="CT6" i="1"/>
  <c r="CV6" i="1" s="1"/>
  <c r="CT14" i="1"/>
  <c r="CV14" i="1" s="1"/>
  <c r="CG5" i="1"/>
  <c r="CG8" i="1"/>
  <c r="CG9" i="1"/>
  <c r="CG10" i="1"/>
  <c r="CG11" i="1"/>
  <c r="CG12" i="1"/>
  <c r="CG13" i="1"/>
  <c r="CG6" i="1"/>
  <c r="CG14" i="1"/>
  <c r="AO5" i="1"/>
  <c r="AO8" i="1"/>
  <c r="AO9" i="1"/>
  <c r="AO10" i="1"/>
  <c r="AO11" i="1"/>
  <c r="AO12" i="1"/>
  <c r="AO13" i="1"/>
  <c r="AO14" i="1"/>
  <c r="CT4" i="1"/>
  <c r="CV4" i="1" s="1"/>
  <c r="CX13" i="1" l="1"/>
  <c r="CZ13" i="1"/>
  <c r="DA13" i="1" s="1"/>
  <c r="AU46" i="1"/>
  <c r="AU34" i="1"/>
  <c r="AU49" i="1"/>
  <c r="AU37" i="1"/>
  <c r="AU25" i="1"/>
  <c r="AU19" i="1"/>
  <c r="BE4" i="1"/>
  <c r="BE20" i="1" s="1"/>
  <c r="BH4" i="1"/>
  <c r="BI4" i="1" s="1"/>
  <c r="CX14" i="1"/>
  <c r="CZ14" i="1"/>
  <c r="CX6" i="1"/>
  <c r="CZ6" i="1"/>
  <c r="CX11" i="1"/>
  <c r="CZ11" i="1"/>
  <c r="CZ12" i="1"/>
  <c r="DA12" i="1" s="1"/>
  <c r="BJ14" i="1"/>
  <c r="BK14" i="1" s="1"/>
  <c r="BJ11" i="1"/>
  <c r="BK11" i="1" s="1"/>
  <c r="CZ4" i="1"/>
  <c r="CX4" i="1"/>
  <c r="CX9" i="1"/>
  <c r="CZ9" i="1"/>
  <c r="CZ7" i="1"/>
  <c r="CX7" i="1"/>
  <c r="CX8" i="1"/>
  <c r="CZ8" i="1"/>
  <c r="CX5" i="1"/>
  <c r="CZ5" i="1"/>
  <c r="CX10" i="1"/>
  <c r="CZ10" i="1"/>
  <c r="BJ13" i="1"/>
  <c r="BK13" i="1" s="1"/>
  <c r="BJ9" i="1"/>
  <c r="BK9" i="1" s="1"/>
  <c r="BJ5" i="1"/>
  <c r="BK5" i="1" s="1"/>
  <c r="BE13" i="1"/>
  <c r="BE47" i="1" s="1"/>
  <c r="BE9" i="1"/>
  <c r="BE35" i="1" s="1"/>
  <c r="BJ12" i="1"/>
  <c r="BK12" i="1" s="1"/>
  <c r="BV12" i="1" s="1"/>
  <c r="BJ8" i="1"/>
  <c r="BK8" i="1" s="1"/>
  <c r="BJ7" i="1"/>
  <c r="BM7" i="1" s="1"/>
  <c r="BE12" i="1"/>
  <c r="BE44" i="1" s="1"/>
  <c r="BE8" i="1"/>
  <c r="BH8" i="1" s="1"/>
  <c r="BI8" i="1" s="1"/>
  <c r="BF13" i="1"/>
  <c r="BF47" i="1" s="1"/>
  <c r="BE11" i="1"/>
  <c r="BJ6" i="1"/>
  <c r="BL6" i="1" s="1"/>
  <c r="BF11" i="1"/>
  <c r="BF41" i="1" s="1"/>
  <c r="BE6" i="1"/>
  <c r="BE26" i="1" s="1"/>
  <c r="BE14" i="1"/>
  <c r="BE50" i="1" s="1"/>
  <c r="BE10" i="1"/>
  <c r="BE38" i="1" s="1"/>
  <c r="BE7" i="1"/>
  <c r="BH7" i="1" s="1"/>
  <c r="BI7" i="1" s="1"/>
  <c r="BJ10" i="1"/>
  <c r="BL10" i="1" s="1"/>
  <c r="BE5" i="1"/>
  <c r="BH5" i="1" s="1"/>
  <c r="BI5" i="1" s="1"/>
  <c r="BJ4" i="1"/>
  <c r="BM4" i="1" s="1"/>
  <c r="BQ9" i="1"/>
  <c r="BZ9" i="1" s="1"/>
  <c r="BU11" i="1"/>
  <c r="CD11" i="1" s="1"/>
  <c r="BF10" i="1"/>
  <c r="BF38" i="1" s="1"/>
  <c r="BF12" i="1"/>
  <c r="BF44" i="1" s="1"/>
  <c r="BF14" i="1"/>
  <c r="BF50" i="1" s="1"/>
  <c r="DA4" i="1" l="1"/>
  <c r="BN9" i="1"/>
  <c r="BW9" i="1" s="1"/>
  <c r="BV9" i="1"/>
  <c r="BE32" i="1"/>
  <c r="BT13" i="1"/>
  <c r="CC13" i="1" s="1"/>
  <c r="BV13" i="1"/>
  <c r="BQ11" i="1"/>
  <c r="BZ11" i="1" s="1"/>
  <c r="BV11" i="1"/>
  <c r="CE11" i="1" s="1"/>
  <c r="BQ8" i="1"/>
  <c r="BZ8" i="1" s="1"/>
  <c r="BV8" i="1"/>
  <c r="BQ14" i="1"/>
  <c r="BZ14" i="1" s="1"/>
  <c r="BV14" i="1"/>
  <c r="CE14" i="1" s="1"/>
  <c r="BU5" i="1"/>
  <c r="CD5" i="1" s="1"/>
  <c r="BV5" i="1"/>
  <c r="DA6" i="1"/>
  <c r="BH11" i="1"/>
  <c r="BI11" i="1" s="1"/>
  <c r="DA11" i="1"/>
  <c r="BH13" i="1"/>
  <c r="BI13" i="1" s="1"/>
  <c r="BE41" i="1"/>
  <c r="DA7" i="1"/>
  <c r="BH10" i="1"/>
  <c r="BI10" i="1" s="1"/>
  <c r="BH9" i="1"/>
  <c r="BI9" i="1" s="1"/>
  <c r="BH12" i="1"/>
  <c r="BI12" i="1" s="1"/>
  <c r="BH6" i="1"/>
  <c r="BI6" i="1" s="1"/>
  <c r="BH14" i="1"/>
  <c r="BI14" i="1" s="1"/>
  <c r="BM8" i="1"/>
  <c r="DA8" i="1"/>
  <c r="DA9" i="1"/>
  <c r="BE23" i="1"/>
  <c r="DA14" i="1"/>
  <c r="BN8" i="1"/>
  <c r="BW8" i="1" s="1"/>
  <c r="DA10" i="1"/>
  <c r="BN11" i="1"/>
  <c r="BW11" i="1" s="1"/>
  <c r="BQ5" i="1"/>
  <c r="BZ5" i="1" s="1"/>
  <c r="BN14" i="1"/>
  <c r="BW14" i="1" s="1"/>
  <c r="BT14" i="1"/>
  <c r="CC14" i="1" s="1"/>
  <c r="BU13" i="1"/>
  <c r="CD13" i="1" s="1"/>
  <c r="BU14" i="1"/>
  <c r="CD14" i="1" s="1"/>
  <c r="BL12" i="1"/>
  <c r="BO12" i="1" s="1"/>
  <c r="BX12" i="1" s="1"/>
  <c r="BL8" i="1"/>
  <c r="BS8" i="1" s="1"/>
  <c r="CB8" i="1" s="1"/>
  <c r="BU8" i="1"/>
  <c r="CD8" i="1" s="1"/>
  <c r="BR5" i="1"/>
  <c r="CA5" i="1" s="1"/>
  <c r="BQ13" i="1"/>
  <c r="BZ13" i="1" s="1"/>
  <c r="BM14" i="1"/>
  <c r="BM11" i="1"/>
  <c r="BK7" i="1"/>
  <c r="BR8" i="1"/>
  <c r="CA8" i="1" s="1"/>
  <c r="BT8" i="1"/>
  <c r="CC8" i="1" s="1"/>
  <c r="CE5" i="1"/>
  <c r="BR11" i="1"/>
  <c r="CA11" i="1" s="1"/>
  <c r="BR14" i="1"/>
  <c r="CA14" i="1" s="1"/>
  <c r="BM12" i="1"/>
  <c r="CE13" i="1"/>
  <c r="BL14" i="1"/>
  <c r="BS14" i="1" s="1"/>
  <c r="CB14" i="1" s="1"/>
  <c r="BL11" i="1"/>
  <c r="BP11" i="1" s="1"/>
  <c r="BY11" i="1" s="1"/>
  <c r="BT11" i="1"/>
  <c r="CC11" i="1" s="1"/>
  <c r="BL7" i="1"/>
  <c r="BS7" i="1" s="1"/>
  <c r="CB7" i="1" s="1"/>
  <c r="BK10" i="1"/>
  <c r="CE9" i="1"/>
  <c r="BK6" i="1"/>
  <c r="BL9" i="1"/>
  <c r="BO9" i="1" s="1"/>
  <c r="BX9" i="1" s="1"/>
  <c r="BN5" i="1"/>
  <c r="BW5" i="1" s="1"/>
  <c r="BR13" i="1"/>
  <c r="CA13" i="1" s="1"/>
  <c r="BL5" i="1"/>
  <c r="BO5" i="1" s="1"/>
  <c r="BX5" i="1" s="1"/>
  <c r="BT5" i="1"/>
  <c r="CC5" i="1" s="1"/>
  <c r="BN13" i="1"/>
  <c r="BW13" i="1" s="1"/>
  <c r="BM5" i="1"/>
  <c r="BL13" i="1"/>
  <c r="BS13" i="1" s="1"/>
  <c r="CB13" i="1" s="1"/>
  <c r="BM13" i="1"/>
  <c r="BL4" i="1"/>
  <c r="BS4" i="1" s="1"/>
  <c r="CB4" i="1" s="1"/>
  <c r="BK4" i="1"/>
  <c r="BT9" i="1"/>
  <c r="CC9" i="1" s="1"/>
  <c r="BU9" i="1"/>
  <c r="CD9" i="1" s="1"/>
  <c r="BM9" i="1"/>
  <c r="BM6" i="1"/>
  <c r="BR9" i="1"/>
  <c r="CA9" i="1" s="1"/>
  <c r="CE8" i="1"/>
  <c r="DA5" i="1"/>
  <c r="BE29" i="1"/>
  <c r="BM10" i="1"/>
  <c r="BP6" i="1"/>
  <c r="BY6" i="1" s="1"/>
  <c r="BS6" i="1"/>
  <c r="CB6" i="1" s="1"/>
  <c r="BO6" i="1"/>
  <c r="BX6" i="1" s="1"/>
  <c r="BP10" i="1"/>
  <c r="BY10" i="1" s="1"/>
  <c r="BS10" i="1"/>
  <c r="CB10" i="1" s="1"/>
  <c r="BO10" i="1"/>
  <c r="BX10" i="1" s="1"/>
  <c r="BT12" i="1"/>
  <c r="CC12" i="1" s="1"/>
  <c r="BQ12" i="1"/>
  <c r="BZ12" i="1" s="1"/>
  <c r="BU12" i="1"/>
  <c r="CD12" i="1" s="1"/>
  <c r="BN12" i="1"/>
  <c r="BW12" i="1" s="1"/>
  <c r="CE12" i="1"/>
  <c r="BR12" i="1"/>
  <c r="CA12" i="1" s="1"/>
  <c r="BP12" i="1" l="1"/>
  <c r="BY12" i="1" s="1"/>
  <c r="CF12" i="1" s="1"/>
  <c r="CH12" i="1" s="1"/>
  <c r="CI12" i="1" s="1"/>
  <c r="BT6" i="1"/>
  <c r="CC6" i="1" s="1"/>
  <c r="BV6" i="1"/>
  <c r="CE6" i="1" s="1"/>
  <c r="BQ4" i="1"/>
  <c r="BZ4" i="1" s="1"/>
  <c r="BV4" i="1"/>
  <c r="CE4" i="1" s="1"/>
  <c r="BU10" i="1"/>
  <c r="CD10" i="1" s="1"/>
  <c r="BV10" i="1"/>
  <c r="CE10" i="1" s="1"/>
  <c r="BV7" i="1"/>
  <c r="CE7" i="1" s="1"/>
  <c r="BO8" i="1"/>
  <c r="BX8" i="1" s="1"/>
  <c r="BN6" i="1"/>
  <c r="BW6" i="1" s="1"/>
  <c r="BU6" i="1"/>
  <c r="CD6" i="1" s="1"/>
  <c r="BS12" i="1"/>
  <c r="CB12" i="1" s="1"/>
  <c r="BO4" i="1"/>
  <c r="BX4" i="1" s="1"/>
  <c r="BP4" i="1"/>
  <c r="BY4" i="1" s="1"/>
  <c r="BP8" i="1"/>
  <c r="BY8" i="1" s="1"/>
  <c r="BT7" i="1"/>
  <c r="CC7" i="1" s="1"/>
  <c r="BN10" i="1"/>
  <c r="BW10" i="1" s="1"/>
  <c r="BR10" i="1"/>
  <c r="CA10" i="1" s="1"/>
  <c r="BS9" i="1"/>
  <c r="CB9" i="1" s="1"/>
  <c r="BQ10" i="1"/>
  <c r="BZ10" i="1" s="1"/>
  <c r="BU7" i="1"/>
  <c r="CD7" i="1" s="1"/>
  <c r="BR6" i="1"/>
  <c r="CA6" i="1" s="1"/>
  <c r="BT10" i="1"/>
  <c r="CC10" i="1" s="1"/>
  <c r="BQ6" i="1"/>
  <c r="BZ6" i="1" s="1"/>
  <c r="BP5" i="1"/>
  <c r="BY5" i="1" s="1"/>
  <c r="BP14" i="1"/>
  <c r="BY14" i="1" s="1"/>
  <c r="BR4" i="1"/>
  <c r="CA4" i="1" s="1"/>
  <c r="BO7" i="1"/>
  <c r="BX7" i="1" s="1"/>
  <c r="BO14" i="1"/>
  <c r="BX14" i="1" s="1"/>
  <c r="BQ7" i="1"/>
  <c r="BZ7" i="1" s="1"/>
  <c r="BR7" i="1"/>
  <c r="CA7" i="1" s="1"/>
  <c r="BN7" i="1"/>
  <c r="BW7" i="1" s="1"/>
  <c r="BP9" i="1"/>
  <c r="BY9" i="1" s="1"/>
  <c r="BO11" i="1"/>
  <c r="BX11" i="1" s="1"/>
  <c r="BS11" i="1"/>
  <c r="CB11" i="1" s="1"/>
  <c r="BP7" i="1"/>
  <c r="BY7" i="1" s="1"/>
  <c r="BT4" i="1"/>
  <c r="CC4" i="1" s="1"/>
  <c r="BU4" i="1"/>
  <c r="CD4" i="1" s="1"/>
  <c r="BN4" i="1"/>
  <c r="BW4" i="1" s="1"/>
  <c r="BO13" i="1"/>
  <c r="BX13" i="1" s="1"/>
  <c r="BP13" i="1"/>
  <c r="BY13" i="1" s="1"/>
  <c r="BS5" i="1"/>
  <c r="CB5" i="1" s="1"/>
  <c r="CF8" i="1" l="1"/>
  <c r="CH8" i="1" s="1"/>
  <c r="CI8" i="1" s="1"/>
  <c r="CF14" i="1"/>
  <c r="CH14" i="1" s="1"/>
  <c r="CI14" i="1" s="1"/>
  <c r="CF6" i="1"/>
  <c r="CH6" i="1" s="1"/>
  <c r="CI6" i="1" s="1"/>
  <c r="CF9" i="1"/>
  <c r="CH9" i="1" s="1"/>
  <c r="CI9" i="1" s="1"/>
  <c r="CF10" i="1"/>
  <c r="CH10" i="1" s="1"/>
  <c r="CI10" i="1" s="1"/>
  <c r="CF4" i="1"/>
  <c r="CH4" i="1" s="1"/>
  <c r="CI4" i="1" s="1"/>
  <c r="CF5" i="1"/>
  <c r="CH5" i="1" s="1"/>
  <c r="CI5" i="1" s="1"/>
  <c r="CF7" i="1"/>
  <c r="CH7" i="1" s="1"/>
  <c r="CI7" i="1" s="1"/>
  <c r="CF11" i="1"/>
  <c r="CH11" i="1" s="1"/>
  <c r="CI11" i="1" s="1"/>
  <c r="CF13" i="1"/>
  <c r="CH13" i="1" s="1"/>
  <c r="CI13" i="1" s="1"/>
</calcChain>
</file>

<file path=xl/comments1.xml><?xml version="1.0" encoding="utf-8"?>
<comments xmlns="http://schemas.openxmlformats.org/spreadsheetml/2006/main">
  <authors>
    <author>rvogt</author>
    <author/>
  </authors>
  <commentList>
    <comment ref="DC2" authorId="0">
      <text>
        <r>
          <rPr>
            <b/>
            <sz val="8"/>
            <color indexed="81"/>
            <rFont val="Tahoma"/>
            <family val="2"/>
          </rPr>
          <t>rvogt:</t>
        </r>
        <r>
          <rPr>
            <sz val="8"/>
            <color indexed="81"/>
            <rFont val="Tahoma"/>
            <family val="2"/>
          </rPr>
          <t xml:space="preserve">
Should be between 1,5 (in soil) and 2,42 (in air)</t>
        </r>
      </text>
    </comment>
    <comment ref="E3" authorId="1">
      <text>
        <r>
          <rPr>
            <b/>
            <sz val="9"/>
            <color indexed="8"/>
            <rFont val="Arial"/>
            <family val="2"/>
          </rPr>
          <t xml:space="preserve">Christian Wilhelm Mohr:
</t>
        </r>
        <r>
          <rPr>
            <sz val="9"/>
            <color indexed="8"/>
            <rFont val="Arial"/>
            <family val="2"/>
          </rPr>
          <t>Write date time in the form mm/dd/yyyy hh:mm:ss</t>
        </r>
      </text>
    </comment>
  </commentList>
</comments>
</file>

<file path=xl/comments2.xml><?xml version="1.0" encoding="utf-8"?>
<comments xmlns="http://schemas.openxmlformats.org/spreadsheetml/2006/main">
  <authors>
    <author>rvogt</author>
    <author/>
    <author>Rolf David Vogt</author>
  </authors>
  <commentList>
    <comment ref="AF2" authorId="0">
      <text>
        <r>
          <rPr>
            <b/>
            <sz val="8"/>
            <color indexed="81"/>
            <rFont val="Tahoma"/>
            <family val="2"/>
          </rPr>
          <t>rvogt:</t>
        </r>
        <r>
          <rPr>
            <sz val="8"/>
            <color indexed="81"/>
            <rFont val="Tahoma"/>
            <family val="2"/>
          </rPr>
          <t xml:space="preserve">
Should be between 1,5 (in soil) and 2,42 (in air)</t>
        </r>
      </text>
    </comment>
    <comment ref="E3" authorId="1">
      <text>
        <r>
          <rPr>
            <b/>
            <sz val="9"/>
            <color indexed="8"/>
            <rFont val="Arial"/>
            <family val="2"/>
          </rPr>
          <t xml:space="preserve">Christian Wilhelm Mohr:
</t>
        </r>
        <r>
          <rPr>
            <sz val="9"/>
            <color indexed="8"/>
            <rFont val="Arial"/>
            <family val="2"/>
          </rPr>
          <t>Write date time in the form mm/dd/yyyy hh:mm:ss</t>
        </r>
      </text>
    </comment>
    <comment ref="AC14" authorId="2">
      <text>
        <r>
          <rPr>
            <b/>
            <sz val="9"/>
            <color indexed="81"/>
            <rFont val="Tahoma"/>
            <family val="2"/>
          </rPr>
          <t>Rolf David Vogt:</t>
        </r>
        <r>
          <rPr>
            <sz val="9"/>
            <color indexed="81"/>
            <rFont val="Tahoma"/>
            <family val="2"/>
          </rPr>
          <t xml:space="preserve">
-0.61</t>
        </r>
      </text>
    </comment>
    <comment ref="AD14" authorId="2">
      <text>
        <r>
          <rPr>
            <b/>
            <sz val="9"/>
            <color indexed="81"/>
            <rFont val="Tahoma"/>
            <family val="2"/>
          </rPr>
          <t>Rolf David Vogt:</t>
        </r>
        <r>
          <rPr>
            <sz val="9"/>
            <color indexed="81"/>
            <rFont val="Tahoma"/>
            <family val="2"/>
          </rPr>
          <t xml:space="preserve">
-0.12</t>
        </r>
      </text>
    </comment>
    <comment ref="AC18" authorId="2">
      <text>
        <r>
          <rPr>
            <b/>
            <sz val="9"/>
            <color indexed="81"/>
            <rFont val="Tahoma"/>
            <family val="2"/>
          </rPr>
          <t>Rolf David Vogt:</t>
        </r>
        <r>
          <rPr>
            <sz val="9"/>
            <color indexed="81"/>
            <rFont val="Tahoma"/>
            <family val="2"/>
          </rPr>
          <t xml:space="preserve">
-0.02</t>
        </r>
      </text>
    </comment>
  </commentList>
</comments>
</file>

<file path=xl/connections.xml><?xml version="1.0" encoding="utf-8"?>
<connections xmlns="http://schemas.openxmlformats.org/spreadsheetml/2006/main">
  <connection id="1" name="Module 19 H2012.csv" type="6" refreshedVersion="0" background="1" saveData="1">
    <textPr fileType="mac" sourceFile="MAC_WD_HDD:Users:CWM:Documents:UiO:Modules:Module 19:Fall 2012:Module 19 H2012.csv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<sst xmlns="http://schemas.openxmlformats.org/spreadsheetml/2006/main" count="1013" uniqueCount="389">
  <si>
    <t>River</t>
  </si>
  <si>
    <t>Al</t>
  </si>
  <si>
    <t>Fe</t>
  </si>
  <si>
    <t>Bikarbonat likevekten</t>
  </si>
  <si>
    <t>Oliver</t>
  </si>
  <si>
    <t xml:space="preserve">Oliver </t>
  </si>
  <si>
    <t>-log pCO2</t>
  </si>
  <si>
    <t>CO2</t>
  </si>
  <si>
    <t>Kh</t>
  </si>
  <si>
    <t>[H2CO3*]</t>
  </si>
  <si>
    <t>K1</t>
  </si>
  <si>
    <t>[HCO3-]</t>
  </si>
  <si>
    <t>K2</t>
  </si>
  <si>
    <t>[CO3 2-]</t>
  </si>
  <si>
    <t>eq DIC</t>
  </si>
  <si>
    <t>Org. charge</t>
  </si>
  <si>
    <t>at pH 4.5</t>
  </si>
  <si>
    <t>M</t>
  </si>
  <si>
    <t>uM</t>
  </si>
  <si>
    <t>ueq/L</t>
  </si>
  <si>
    <t>IC</t>
  </si>
  <si>
    <t>Filtered water</t>
  </si>
  <si>
    <t>Lake</t>
  </si>
  <si>
    <t>PO43-</t>
  </si>
  <si>
    <t>f Ali</t>
  </si>
  <si>
    <t>mol/cm^3</t>
  </si>
  <si>
    <t>S/cm</t>
  </si>
  <si>
    <r>
      <t>m</t>
    </r>
    <r>
      <rPr>
        <b/>
        <i/>
        <sz val="10"/>
        <rFont val="Arial"/>
        <family val="2"/>
      </rPr>
      <t xml:space="preserve">S 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-1</t>
    </r>
  </si>
  <si>
    <t>DOC</t>
  </si>
  <si>
    <t>DOC</t>
    <phoneticPr fontId="18" type="noConversion"/>
  </si>
  <si>
    <t>mg C/L</t>
  </si>
  <si>
    <t>UV</t>
  </si>
  <si>
    <t>Filt-tot</t>
  </si>
  <si>
    <t>DOM-P+PO4</t>
  </si>
  <si>
    <t>Free PO4</t>
  </si>
  <si>
    <t>Temp.</t>
  </si>
  <si>
    <r>
      <t>OD</t>
    </r>
    <r>
      <rPr>
        <b/>
        <vertAlign val="subscript"/>
        <sz val="9"/>
        <rFont val="Arial"/>
        <family val="2"/>
      </rPr>
      <t>254nm</t>
    </r>
  </si>
  <si>
    <r>
      <t>OD</t>
    </r>
    <r>
      <rPr>
        <b/>
        <vertAlign val="subscript"/>
        <sz val="9"/>
        <rFont val="Arial"/>
        <family val="2"/>
      </rPr>
      <t>400nm</t>
    </r>
  </si>
  <si>
    <r>
      <t>Ca</t>
    </r>
    <r>
      <rPr>
        <b/>
        <vertAlign val="superscript"/>
        <sz val="10"/>
        <rFont val="Arial"/>
        <family val="2"/>
      </rPr>
      <t>2+</t>
    </r>
  </si>
  <si>
    <r>
      <t>Mg</t>
    </r>
    <r>
      <rPr>
        <b/>
        <vertAlign val="superscript"/>
        <sz val="10"/>
        <rFont val="Arial"/>
        <family val="2"/>
      </rPr>
      <t>2+</t>
    </r>
  </si>
  <si>
    <r>
      <t>Na</t>
    </r>
    <r>
      <rPr>
        <b/>
        <vertAlign val="superscript"/>
        <sz val="10"/>
        <rFont val="Arial"/>
        <family val="2"/>
      </rPr>
      <t>+</t>
    </r>
  </si>
  <si>
    <r>
      <t>K</t>
    </r>
    <r>
      <rPr>
        <b/>
        <vertAlign val="superscript"/>
        <sz val="10"/>
        <rFont val="Arial"/>
        <family val="2"/>
      </rPr>
      <t>+</t>
    </r>
  </si>
  <si>
    <r>
      <t>Cl</t>
    </r>
    <r>
      <rPr>
        <b/>
        <vertAlign val="superscript"/>
        <sz val="10"/>
        <rFont val="Arial"/>
        <family val="2"/>
      </rPr>
      <t>-</t>
    </r>
  </si>
  <si>
    <t>{SO4 2-}</t>
  </si>
  <si>
    <t>{Cl-}</t>
  </si>
  <si>
    <t>{NO3 -}</t>
  </si>
  <si>
    <t>{HCO3 -}</t>
  </si>
  <si>
    <t>cond. H+</t>
  </si>
  <si>
    <t>cond. Ca2+</t>
  </si>
  <si>
    <t>cond. Mg2+</t>
  </si>
  <si>
    <t>cond. Na+</t>
  </si>
  <si>
    <t>Cond. Deviation</t>
  </si>
  <si>
    <t>ºC</t>
  </si>
  <si>
    <r>
      <t>Abs cm</t>
    </r>
    <r>
      <rPr>
        <b/>
        <vertAlign val="superscript"/>
        <sz val="10"/>
        <rFont val="Arial"/>
        <family val="2"/>
      </rPr>
      <t>-1</t>
    </r>
  </si>
  <si>
    <r>
      <t>mg L</t>
    </r>
    <r>
      <rPr>
        <b/>
        <vertAlign val="superscript"/>
        <sz val="10"/>
        <rFont val="Arial"/>
        <family val="2"/>
      </rPr>
      <t>-1</t>
    </r>
  </si>
  <si>
    <t>%</t>
  </si>
  <si>
    <t>Monovalent</t>
  </si>
  <si>
    <t>Divalent</t>
  </si>
  <si>
    <t xml:space="preserve">I </t>
  </si>
  <si>
    <r>
      <t>µg P L</t>
    </r>
    <r>
      <rPr>
        <b/>
        <vertAlign val="superscript"/>
        <sz val="10"/>
        <rFont val="Arial"/>
        <family val="2"/>
      </rPr>
      <t>-1</t>
    </r>
  </si>
  <si>
    <t>Colour</t>
  </si>
  <si>
    <t>pH corr.</t>
  </si>
  <si>
    <t>Data quality</t>
  </si>
  <si>
    <t>Log</t>
  </si>
  <si>
    <t xml:space="preserve">Plot </t>
  </si>
  <si>
    <t>Type</t>
  </si>
  <si>
    <t>Date/time</t>
  </si>
  <si>
    <t>Volume</t>
  </si>
  <si>
    <t>Alkalinity</t>
  </si>
  <si>
    <t>Sample</t>
  </si>
  <si>
    <t>Sampling</t>
  </si>
  <si>
    <t>If pH&gt;5.5</t>
  </si>
  <si>
    <t>Tot-F</t>
  </si>
  <si>
    <t>Number</t>
  </si>
  <si>
    <t>Letter</t>
  </si>
  <si>
    <t>dd.mm.yy hh:mm</t>
  </si>
  <si>
    <t>mL</t>
  </si>
  <si>
    <t xml:space="preserve">  pH</t>
  </si>
  <si>
    <r>
      <t>µeq L</t>
    </r>
    <r>
      <rPr>
        <b/>
        <vertAlign val="superscript"/>
        <sz val="10"/>
        <rFont val="Arial"/>
        <family val="2"/>
      </rPr>
      <t>-1</t>
    </r>
  </si>
  <si>
    <t>µM</t>
  </si>
  <si>
    <t>Ionic streangth</t>
  </si>
  <si>
    <t>f</t>
  </si>
  <si>
    <t>cond. K+</t>
  </si>
  <si>
    <t>cond. SO4 2-</t>
  </si>
  <si>
    <t>cond. Cl-</t>
  </si>
  <si>
    <t>cond. NO3 -</t>
  </si>
  <si>
    <t>cond.HCO3-</t>
  </si>
  <si>
    <t>Tot. cond.</t>
  </si>
  <si>
    <t>Measured</t>
  </si>
  <si>
    <t>Difference</t>
  </si>
  <si>
    <t>{H+}</t>
  </si>
  <si>
    <t>{Ca2+}</t>
  </si>
  <si>
    <t>{Mg2+}</t>
  </si>
  <si>
    <t>{Na+}</t>
  </si>
  <si>
    <t>{K+}</t>
  </si>
  <si>
    <t>H+</t>
  </si>
  <si>
    <t>IB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</si>
  <si>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2-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</si>
  <si>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-</t>
    </r>
  </si>
  <si>
    <r>
      <t>mg SO4 L</t>
    </r>
    <r>
      <rPr>
        <b/>
        <vertAlign val="superscript"/>
        <sz val="10"/>
        <rFont val="Arial"/>
        <family val="2"/>
      </rPr>
      <t>-1</t>
    </r>
  </si>
  <si>
    <r>
      <t>mg NO3 L</t>
    </r>
    <r>
      <rPr>
        <b/>
        <vertAlign val="superscript"/>
        <sz val="10"/>
        <rFont val="Arial"/>
        <family val="2"/>
      </rPr>
      <t>-1</t>
    </r>
  </si>
  <si>
    <r>
      <t>Cond</t>
    </r>
    <r>
      <rPr>
        <b/>
        <vertAlign val="subscript"/>
        <sz val="11"/>
        <rFont val="Calibri"/>
        <family val="2"/>
        <scheme val="minor"/>
      </rPr>
      <t>25C</t>
    </r>
  </si>
  <si>
    <r>
      <t>µS.cm</t>
    </r>
    <r>
      <rPr>
        <b/>
        <vertAlign val="superscript"/>
        <sz val="11"/>
        <rFont val="Calibri"/>
        <family val="2"/>
        <scheme val="minor"/>
      </rPr>
      <t>-1</t>
    </r>
  </si>
  <si>
    <t>Akerselva</t>
  </si>
  <si>
    <t>Årungen</t>
  </si>
  <si>
    <t>Gjersjøen</t>
  </si>
  <si>
    <t>Kolbotntjernet</t>
  </si>
  <si>
    <t>Sværsvann</t>
  </si>
  <si>
    <t>Østensjøvann</t>
  </si>
  <si>
    <t>Lutvann</t>
  </si>
  <si>
    <t>Maridalsvannet</t>
  </si>
  <si>
    <t>Nesøytjernet</t>
  </si>
  <si>
    <r>
      <t>Br</t>
    </r>
    <r>
      <rPr>
        <b/>
        <vertAlign val="superscript"/>
        <sz val="10"/>
        <rFont val="Arial"/>
        <family val="2"/>
      </rPr>
      <t>-</t>
    </r>
  </si>
  <si>
    <t>DOP</t>
  </si>
  <si>
    <t>Mn</t>
  </si>
  <si>
    <t>ICP-OES</t>
  </si>
  <si>
    <r>
      <t>µg L</t>
    </r>
    <r>
      <rPr>
        <b/>
        <vertAlign val="superscript"/>
        <sz val="10"/>
        <rFont val="Arial"/>
        <family val="2"/>
      </rPr>
      <t>-1</t>
    </r>
  </si>
  <si>
    <t>Total 206Pb</t>
  </si>
  <si>
    <t>Total 207Pb</t>
  </si>
  <si>
    <t>Total 208Pb</t>
  </si>
  <si>
    <t>Total 206Pb/207Pb ratio</t>
  </si>
  <si>
    <t>Natural ratio = 1.090</t>
  </si>
  <si>
    <t>ICP-MS Total trace metals</t>
  </si>
  <si>
    <r>
      <t>µmol L</t>
    </r>
    <r>
      <rPr>
        <b/>
        <vertAlign val="superscript"/>
        <sz val="11"/>
        <rFont val="Arial"/>
        <family val="2"/>
      </rPr>
      <t>-1</t>
    </r>
  </si>
  <si>
    <t>Solbergvann</t>
  </si>
  <si>
    <t>Puttjern</t>
  </si>
  <si>
    <r>
      <t>OD</t>
    </r>
    <r>
      <rPr>
        <b/>
        <vertAlign val="subscript"/>
        <sz val="9"/>
        <rFont val="Arial"/>
        <family val="2"/>
      </rPr>
      <t>600nm</t>
    </r>
  </si>
  <si>
    <t>µg L-1</t>
  </si>
  <si>
    <t>Raw</t>
  </si>
  <si>
    <t>Tot-P</t>
  </si>
  <si>
    <t>sUVa</t>
  </si>
  <si>
    <t>SAR</t>
  </si>
  <si>
    <t>PP</t>
  </si>
  <si>
    <t>Org</t>
  </si>
  <si>
    <t>HCO3-</t>
  </si>
  <si>
    <t>HCO3</t>
  </si>
  <si>
    <t>Ca2+</t>
  </si>
  <si>
    <t>Mg2+</t>
  </si>
  <si>
    <t>Na+</t>
  </si>
  <si>
    <t>K+</t>
  </si>
  <si>
    <t>SO42-</t>
  </si>
  <si>
    <t>NO3-</t>
  </si>
  <si>
    <t>Cl-</t>
  </si>
  <si>
    <t>Partikler</t>
  </si>
  <si>
    <t>Ustaoset</t>
  </si>
  <si>
    <t>Groundwater</t>
  </si>
  <si>
    <t>Kolbotntjern</t>
  </si>
  <si>
    <t>Solbergvannet</t>
  </si>
  <si>
    <t>Sequence Name:</t>
  </si>
  <si>
    <t>20151021 R. Vogt, Kjem. Inst., AN</t>
  </si>
  <si>
    <t>Program Name:</t>
  </si>
  <si>
    <t>AS18_ICS2000</t>
  </si>
  <si>
    <t>Method File Name:</t>
  </si>
  <si>
    <t>Dual2011</t>
  </si>
  <si>
    <t>Date Time Collected:</t>
  </si>
  <si>
    <t>System Operator:</t>
  </si>
  <si>
    <t>localuser</t>
  </si>
  <si>
    <t xml:space="preserve">No. </t>
  </si>
  <si>
    <t xml:space="preserve">Name </t>
  </si>
  <si>
    <t xml:space="preserve">Amount </t>
  </si>
  <si>
    <t/>
  </si>
  <si>
    <t>ppm</t>
  </si>
  <si>
    <t>F</t>
  </si>
  <si>
    <t>Cl</t>
  </si>
  <si>
    <t>SO4</t>
  </si>
  <si>
    <t>Br</t>
  </si>
  <si>
    <t>NO3</t>
  </si>
  <si>
    <t>PO4</t>
  </si>
  <si>
    <t>ECD</t>
  </si>
  <si>
    <t>blank</t>
  </si>
  <si>
    <t>n.a.</t>
  </si>
  <si>
    <t>Anion 1</t>
  </si>
  <si>
    <t>Anion 2</t>
  </si>
  <si>
    <t>Anion 3</t>
  </si>
  <si>
    <t>An 1</t>
  </si>
  <si>
    <t>QC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</si>
  <si>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</si>
  <si>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</si>
  <si>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</si>
  <si>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</si>
  <si>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</si>
  <si>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</si>
  <si>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</si>
  <si>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</si>
  <si>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</si>
  <si>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</si>
  <si>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</si>
  <si>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Blank</t>
  </si>
  <si>
    <t>An 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</si>
  <si>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</si>
  <si>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</si>
  <si>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</si>
  <si>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</si>
  <si>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</si>
  <si>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</si>
  <si>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</si>
  <si>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</si>
  <si>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</si>
  <si>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</si>
  <si>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X10 3</t>
  </si>
  <si>
    <t>X10 4</t>
  </si>
  <si>
    <t>X10 7</t>
  </si>
  <si>
    <t>X10 8</t>
  </si>
  <si>
    <t>X10 9</t>
  </si>
  <si>
    <t>X10 10</t>
  </si>
  <si>
    <t>X10 12</t>
  </si>
  <si>
    <t>X10 13</t>
  </si>
  <si>
    <t>X10 14</t>
  </si>
  <si>
    <t>X10 15</t>
  </si>
  <si>
    <t>X10 16</t>
  </si>
  <si>
    <t>X10 17</t>
  </si>
  <si>
    <t>X10 18</t>
  </si>
  <si>
    <t>X10 19</t>
  </si>
  <si>
    <t>X10 20</t>
  </si>
  <si>
    <t>X10 21</t>
  </si>
  <si>
    <t>stop</t>
  </si>
  <si>
    <r>
      <t>µg PO4 L</t>
    </r>
    <r>
      <rPr>
        <b/>
        <vertAlign val="superscript"/>
        <sz val="10"/>
        <rFont val="Arial"/>
        <family val="2"/>
      </rPr>
      <t>-1</t>
    </r>
  </si>
  <si>
    <t>koordinat N</t>
  </si>
  <si>
    <t>koordinat E</t>
  </si>
  <si>
    <r>
      <t>59</t>
    </r>
    <r>
      <rPr>
        <sz val="11"/>
        <color indexed="8"/>
        <rFont val="Symbol"/>
        <family val="1"/>
        <charset val="2"/>
      </rPr>
      <t>°55,19min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</si>
  <si>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52,62min</t>
    </r>
  </si>
  <si>
    <r>
      <t>59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48,35min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</si>
  <si>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47,58min</t>
    </r>
  </si>
  <si>
    <r>
      <t>59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58,09min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</si>
  <si>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47,06min</t>
    </r>
  </si>
  <si>
    <r>
      <t>59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54,79min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</si>
  <si>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45,44min</t>
    </r>
  </si>
  <si>
    <t>59°49,04min</t>
  </si>
  <si>
    <t>10°53,22min</t>
  </si>
  <si>
    <t>59°45,294min</t>
  </si>
  <si>
    <t>10°46,439min</t>
  </si>
  <si>
    <t>59°42,050min</t>
  </si>
  <si>
    <t>10°44,19min</t>
  </si>
  <si>
    <t>59°49,041min</t>
  </si>
  <si>
    <t>10°53,22,5min</t>
  </si>
  <si>
    <t>59°54,04min</t>
  </si>
  <si>
    <t>10°51,95min</t>
  </si>
  <si>
    <t>Prøver analysert 20. - 21. oktober 2015</t>
  </si>
  <si>
    <r>
      <t>PO</t>
    </r>
    <r>
      <rPr>
        <sz val="8"/>
        <color indexed="8"/>
        <rFont val="Calibri"/>
        <family val="2"/>
      </rPr>
      <t>4</t>
    </r>
  </si>
  <si>
    <t>TP</t>
  </si>
  <si>
    <t>TDP</t>
  </si>
  <si>
    <t>TOC</t>
  </si>
  <si>
    <r>
      <t xml:space="preserve">Kondukt. </t>
    </r>
    <r>
      <rPr>
        <sz val="11"/>
        <color indexed="8"/>
        <rFont val="Symbol"/>
        <family val="1"/>
        <charset val="2"/>
      </rPr>
      <t>m</t>
    </r>
    <r>
      <rPr>
        <sz val="11"/>
        <color indexed="8"/>
        <rFont val="Calibri"/>
        <family val="2"/>
      </rPr>
      <t>S/cm</t>
    </r>
  </si>
  <si>
    <t>temp</t>
  </si>
  <si>
    <t>pH</t>
  </si>
  <si>
    <t>filt. Mg part/L</t>
  </si>
  <si>
    <t>alkalinitet</t>
  </si>
  <si>
    <t>UV -VIS abs</t>
  </si>
  <si>
    <t>UV-VIS abs</t>
  </si>
  <si>
    <t>tid</t>
  </si>
  <si>
    <t>Al 396.152nm</t>
  </si>
  <si>
    <t>Ca 422.673nm</t>
  </si>
  <si>
    <t>Fe238.204nm</t>
  </si>
  <si>
    <t>K766.491nm</t>
  </si>
  <si>
    <t>Mg285.213nm</t>
  </si>
  <si>
    <t>Mn257.610nm</t>
  </si>
  <si>
    <t>Na589.592nm</t>
  </si>
  <si>
    <t>Prøve nr</t>
  </si>
  <si>
    <t>µg/l  P</t>
  </si>
  <si>
    <t xml:space="preserve">µg/l </t>
  </si>
  <si>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C</t>
    </r>
  </si>
  <si>
    <r>
      <rPr>
        <sz val="12"/>
        <color indexed="8"/>
        <rFont val="Calibri"/>
        <family val="2"/>
      </rPr>
      <t>10</t>
    </r>
    <r>
      <rPr>
        <sz val="9"/>
        <color indexed="8"/>
        <rFont val="Calibri"/>
        <family val="2"/>
      </rPr>
      <t>-3</t>
    </r>
    <r>
      <rPr>
        <sz val="12"/>
        <color indexed="8"/>
        <rFont val="Calibri"/>
        <family val="2"/>
      </rPr>
      <t xml:space="preserve"> M</t>
    </r>
  </si>
  <si>
    <t>254 nm</t>
  </si>
  <si>
    <t>400 nm</t>
  </si>
  <si>
    <t>mg/L</t>
  </si>
  <si>
    <t>mg//L</t>
  </si>
  <si>
    <t>Particle</t>
  </si>
  <si>
    <t>DOC</t>
    <phoneticPr fontId="18" type="noConversion"/>
  </si>
  <si>
    <t>Bogstadvannet</t>
  </si>
  <si>
    <t>17.10.13 10:00</t>
  </si>
  <si>
    <t>Lysakerelva</t>
  </si>
  <si>
    <t>17.10.13 10:25</t>
  </si>
  <si>
    <t>17.10.13 14:10</t>
  </si>
  <si>
    <t>17.10.13 11:35</t>
  </si>
  <si>
    <t>17.10.13 11:50</t>
  </si>
  <si>
    <t>17.10.13 12:15</t>
  </si>
  <si>
    <t>17.10.13 12:40</t>
  </si>
  <si>
    <t>17.10.13 12:55</t>
  </si>
  <si>
    <t>17.10.13 13:40</t>
  </si>
  <si>
    <t>24.09.14 14:15</t>
  </si>
  <si>
    <t>Stream</t>
  </si>
  <si>
    <t>22.09.14 17:00</t>
  </si>
  <si>
    <t>24.09.14 12:34</t>
  </si>
  <si>
    <t>24.09.14 13:08</t>
  </si>
  <si>
    <t>24.09.14 11:39</t>
  </si>
  <si>
    <t>24.09.14 12:00</t>
  </si>
  <si>
    <t>24.09.14 12:17</t>
  </si>
  <si>
    <t>24.09.14 10:49</t>
  </si>
  <si>
    <t>24.09.14 14:50</t>
  </si>
  <si>
    <t>23.09.14 17:00</t>
  </si>
  <si>
    <t>22.09.14 15:30</t>
  </si>
  <si>
    <t>Latitude</t>
  </si>
  <si>
    <t>Longitude</t>
  </si>
  <si>
    <r>
      <t>59</t>
    </r>
    <r>
      <rPr>
        <sz val="10"/>
        <rFont val="Calibri"/>
        <family val="2"/>
      </rPr>
      <t>°</t>
    </r>
    <r>
      <rPr>
        <sz val="8.5"/>
        <rFont val="Arial"/>
        <family val="2"/>
      </rPr>
      <t>31'54</t>
    </r>
  </si>
  <si>
    <r>
      <t>59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48'35</t>
    </r>
  </si>
  <si>
    <r>
      <t>59</t>
    </r>
    <r>
      <rPr>
        <sz val="10"/>
        <rFont val="Calibri"/>
        <family val="2"/>
      </rPr>
      <t>°55'19</t>
    </r>
  </si>
  <si>
    <r>
      <t>59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58'09</t>
    </r>
  </si>
  <si>
    <r>
      <t>59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54'79</t>
    </r>
  </si>
  <si>
    <t>59°49'04</t>
  </si>
  <si>
    <t>59°45'294</t>
  </si>
  <si>
    <t>59°42'050</t>
  </si>
  <si>
    <t>59°49'041</t>
  </si>
  <si>
    <t>59°54'04</t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</si>
  <si>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52'62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</si>
  <si>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47'58</t>
    </r>
  </si>
  <si>
    <r>
      <t>10</t>
    </r>
    <r>
      <rPr>
        <sz val="10"/>
        <rFont val="Calibri"/>
        <family val="2"/>
      </rPr>
      <t>°</t>
    </r>
    <r>
      <rPr>
        <sz val="8.5"/>
        <rFont val="Arial"/>
        <family val="2"/>
      </rPr>
      <t>31'12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</si>
  <si>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47'06</t>
    </r>
  </si>
  <si>
    <r>
      <t>10</t>
    </r>
    <r>
      <rPr>
        <sz val="11"/>
        <color indexed="8"/>
        <rFont val="Symbol"/>
        <family val="1"/>
        <charset val="2"/>
      </rPr>
      <t>°</t>
    </r>
    <r>
      <rPr>
        <sz val="11"/>
        <color indexed="8"/>
        <rFont val="Calibri"/>
        <family val="2"/>
      </rPr>
      <t>45'44</t>
    </r>
  </si>
  <si>
    <t>10°53'22</t>
  </si>
  <si>
    <t>10°46'439</t>
  </si>
  <si>
    <t>10°44'19</t>
  </si>
  <si>
    <t>10°53'225</t>
  </si>
  <si>
    <t>10°51'95</t>
  </si>
  <si>
    <t>5.527</t>
  </si>
  <si>
    <t>0.0289</t>
  </si>
  <si>
    <t>1.122</t>
  </si>
  <si>
    <t>0.0110</t>
  </si>
  <si>
    <t>1.862</t>
  </si>
  <si>
    <t>0.0333</t>
  </si>
  <si>
    <t>23.920</t>
  </si>
  <si>
    <t>0.0246</t>
  </si>
  <si>
    <t>2.1881</t>
  </si>
  <si>
    <t>2.214</t>
  </si>
  <si>
    <t>0.3115</t>
  </si>
  <si>
    <t>1.425</t>
  </si>
  <si>
    <t>0.0385</t>
  </si>
  <si>
    <t>20.957</t>
  </si>
  <si>
    <t>0.0316</t>
  </si>
  <si>
    <t>3.0058</t>
  </si>
  <si>
    <t>2.905</t>
  </si>
  <si>
    <t>0.0105</t>
  </si>
  <si>
    <t>19.782</t>
  </si>
  <si>
    <t>0.0259</t>
  </si>
  <si>
    <t>22.724</t>
  </si>
  <si>
    <t>0.0256</t>
  </si>
  <si>
    <t>1.711</t>
  </si>
  <si>
    <t>3.495</t>
  </si>
  <si>
    <t>9.702</t>
  </si>
  <si>
    <t>0.1145</t>
  </si>
  <si>
    <t>2.154</t>
  </si>
  <si>
    <t>0.0409</t>
  </si>
  <si>
    <t>0.4157</t>
  </si>
  <si>
    <t>0.5261</t>
  </si>
  <si>
    <t>0.0115</t>
  </si>
  <si>
    <t>1.473</t>
  </si>
  <si>
    <t>0.0831</t>
  </si>
  <si>
    <t>4.099</t>
  </si>
  <si>
    <t>0.0572</t>
  </si>
  <si>
    <t>0.5883</t>
  </si>
  <si>
    <t>0.7949</t>
  </si>
  <si>
    <t>0.0132</t>
  </si>
  <si>
    <t>2.943</t>
  </si>
  <si>
    <t>0.0369</t>
  </si>
  <si>
    <t>24.169</t>
  </si>
  <si>
    <t>0.1745</t>
  </si>
  <si>
    <t>2.718</t>
  </si>
  <si>
    <t>3.888</t>
  </si>
  <si>
    <t>0.1112</t>
  </si>
  <si>
    <t>8.999</t>
  </si>
  <si>
    <t>0.0705</t>
  </si>
  <si>
    <t>16.308</t>
  </si>
  <si>
    <t>0.1189</t>
  </si>
  <si>
    <t>2.369</t>
  </si>
  <si>
    <t>2.645</t>
  </si>
  <si>
    <t>0.0222</t>
  </si>
  <si>
    <t>12.977</t>
  </si>
  <si>
    <t>0.1893</t>
  </si>
  <si>
    <t>16.578</t>
  </si>
  <si>
    <t>0.2282</t>
  </si>
  <si>
    <t>3.294</t>
  </si>
  <si>
    <t>3.184</t>
  </si>
  <si>
    <t>0.1625</t>
  </si>
  <si>
    <t>10.525</t>
  </si>
  <si>
    <t>0.1997</t>
  </si>
  <si>
    <t>3.726</t>
  </si>
  <si>
    <t>0.2412</t>
  </si>
  <si>
    <t>0.7740</t>
  </si>
  <si>
    <t>0.8406</t>
  </si>
  <si>
    <t>0.0591</t>
  </si>
  <si>
    <t>4.421</t>
  </si>
  <si>
    <t>0.3842</t>
  </si>
  <si>
    <t>3.069</t>
  </si>
  <si>
    <t>0.3686</t>
  </si>
  <si>
    <t>0.4099</t>
  </si>
  <si>
    <t>0.6643</t>
  </si>
  <si>
    <t>0.0280</t>
  </si>
  <si>
    <t>1.848</t>
  </si>
  <si>
    <t>7°59'13</t>
  </si>
  <si>
    <r>
      <t>60</t>
    </r>
    <r>
      <rPr>
        <sz val="10"/>
        <rFont val="Calibri"/>
        <family val="2"/>
      </rPr>
      <t>°</t>
    </r>
    <r>
      <rPr>
        <sz val="10"/>
        <rFont val="Arial"/>
        <family val="2"/>
      </rPr>
      <t>29'56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</si>
</sst>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"/>
    <numFmt numFmtId="165" formatCode="0.000"/>
    <numFmt numFmtId="166" formatCode="dd\.mm\.yy\ hh:mm"/>
    <numFmt numFmtId="167" formatCode="0.0E+00"/>
    <numFmt numFmtId="168" formatCode="_ * #,##0.000_ ;_ * \-#,##0.000_ ;_ * &quot;-&quot;??_ ;_ @_ "/>
    <numFmt numFmtId="169" formatCode="0.0000"/>
    <numFmt numFmtId="170" formatCode="#,##0.0_ ;\-#,##0.0\ "/>
  </numFmts>
  <fonts count="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u/>
      <sz val="10"/>
      <color theme="11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Arial"/>
      <family val="2"/>
    </font>
    <font>
      <b/>
      <sz val="12"/>
      <name val="Arial"/>
    </font>
    <font>
      <b/>
      <sz val="14"/>
      <name val="Arial"/>
    </font>
    <font>
      <sz val="12"/>
      <name val="Arial"/>
    </font>
    <font>
      <sz val="9"/>
      <name val="Arial"/>
    </font>
    <font>
      <sz val="11"/>
      <color indexed="8"/>
      <name val="Symbol"/>
      <family val="1"/>
      <charset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rgb="FFC00000"/>
      <name val="Arial"/>
      <family val="2"/>
    </font>
    <font>
      <u/>
      <sz val="12.5"/>
      <color indexed="12"/>
      <name val="Arial"/>
      <family val="2"/>
    </font>
    <font>
      <sz val="10"/>
      <color theme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sz val="8.5"/>
      <name val="Arial"/>
      <family val="2"/>
    </font>
    <font>
      <b/>
      <sz val="10"/>
      <color rgb="FFFF0000"/>
      <name val="Arial"/>
      <family val="2"/>
    </font>
    <font>
      <sz val="10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0" fontId="31" fillId="0" borderId="0"/>
    <xf numFmtId="0" fontId="3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>
      <alignment vertical="top" wrapText="1"/>
      <protection locked="0"/>
    </xf>
    <xf numFmtId="0" fontId="4" fillId="0" borderId="0">
      <alignment vertical="top" wrapText="1"/>
      <protection locked="0"/>
    </xf>
    <xf numFmtId="9" fontId="6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0" fillId="0" borderId="0" xfId="0" applyNumberFormat="1" applyFill="1" applyAlignment="1" applyProtection="1">
      <alignment horizontal="center"/>
    </xf>
    <xf numFmtId="0" fontId="7" fillId="0" borderId="0" xfId="0" applyFont="1" applyFill="1"/>
    <xf numFmtId="165" fontId="11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0" xfId="0" applyNumberFormat="1"/>
    <xf numFmtId="2" fontId="19" fillId="0" borderId="0" xfId="0" applyNumberFormat="1" applyFont="1" applyFill="1" applyAlignment="1" applyProtection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5" fontId="0" fillId="0" borderId="3" xfId="0" applyNumberFormat="1" applyFill="1" applyBorder="1" applyAlignment="1">
      <alignment horizontal="center"/>
    </xf>
    <xf numFmtId="0" fontId="0" fillId="0" borderId="3" xfId="0" applyBorder="1"/>
    <xf numFmtId="165" fontId="24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</xf>
    <xf numFmtId="167" fontId="0" fillId="3" borderId="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/>
    <xf numFmtId="167" fontId="7" fillId="0" borderId="0" xfId="0" applyNumberFormat="1" applyFont="1" applyFill="1" applyBorder="1" applyAlignment="1"/>
    <xf numFmtId="2" fontId="27" fillId="3" borderId="0" xfId="0" applyNumberFormat="1" applyFont="1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/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Border="1"/>
    <xf numFmtId="164" fontId="26" fillId="0" borderId="0" xfId="0" applyNumberFormat="1" applyFont="1" applyBorder="1"/>
    <xf numFmtId="164" fontId="0" fillId="3" borderId="0" xfId="0" applyNumberFormat="1" applyFill="1" applyBorder="1" applyAlignment="1">
      <alignment horizontal="center" vertical="center"/>
    </xf>
    <xf numFmtId="1" fontId="0" fillId="0" borderId="0" xfId="0" applyNumberFormat="1" applyFill="1"/>
    <xf numFmtId="164" fontId="28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Border="1" applyAlignment="1">
      <alignment horizontal="center"/>
    </xf>
    <xf numFmtId="165" fontId="7" fillId="0" borderId="0" xfId="0" applyNumberFormat="1" applyFont="1" applyFill="1" applyAlignment="1" applyProtection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2" fontId="32" fillId="0" borderId="0" xfId="0" applyNumberFormat="1" applyFont="1" applyFill="1" applyBorder="1" applyAlignment="1" applyProtection="1">
      <alignment horizontal="center"/>
    </xf>
    <xf numFmtId="2" fontId="32" fillId="0" borderId="0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165" fontId="30" fillId="0" borderId="0" xfId="0" applyNumberFormat="1" applyFont="1" applyFill="1" applyAlignment="1" applyProtection="1">
      <alignment horizontal="center"/>
    </xf>
    <xf numFmtId="165" fontId="36" fillId="0" borderId="0" xfId="0" applyNumberFormat="1" applyFont="1" applyAlignment="1">
      <alignment horizontal="center"/>
    </xf>
    <xf numFmtId="164" fontId="34" fillId="0" borderId="0" xfId="0" applyNumberFormat="1" applyFont="1" applyFill="1" applyAlignment="1" applyProtection="1">
      <alignment horizontal="center"/>
    </xf>
    <xf numFmtId="164" fontId="34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64" fontId="30" fillId="0" borderId="0" xfId="0" applyNumberFormat="1" applyFont="1" applyFill="1" applyAlignment="1" applyProtection="1">
      <alignment horizontal="center"/>
    </xf>
    <xf numFmtId="164" fontId="30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0" fillId="0" borderId="0" xfId="0"/>
    <xf numFmtId="2" fontId="0" fillId="0" borderId="0" xfId="4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6" fillId="4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7" xfId="0" applyNumberFormat="1" applyFont="1" applyFill="1" applyBorder="1" applyAlignment="1" applyProtection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9" fillId="0" borderId="6" xfId="0" applyNumberFormat="1" applyFont="1" applyBorder="1" applyAlignment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4" fontId="7" fillId="0" borderId="7" xfId="0" applyNumberFormat="1" applyFont="1" applyBorder="1" applyAlignment="1">
      <alignment horizontal="center"/>
    </xf>
    <xf numFmtId="2" fontId="2" fillId="0" borderId="7" xfId="4" applyNumberFormat="1" applyFont="1" applyBorder="1" applyAlignment="1">
      <alignment horizontal="center" vertical="center"/>
    </xf>
    <xf numFmtId="2" fontId="29" fillId="4" borderId="7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64" fontId="28" fillId="0" borderId="6" xfId="0" applyNumberFormat="1" applyFont="1" applyFill="1" applyBorder="1" applyAlignment="1" applyProtection="1">
      <alignment horizontal="center"/>
    </xf>
    <xf numFmtId="164" fontId="23" fillId="0" borderId="6" xfId="0" applyNumberFormat="1" applyFont="1" applyFill="1" applyBorder="1" applyAlignment="1" applyProtection="1">
      <alignment horizontal="center"/>
    </xf>
    <xf numFmtId="1" fontId="0" fillId="3" borderId="0" xfId="0" applyNumberFormat="1" applyFill="1" applyBorder="1" applyAlignment="1">
      <alignment horizontal="center" vertical="center"/>
    </xf>
    <xf numFmtId="167" fontId="0" fillId="0" borderId="0" xfId="0" applyNumberFormat="1" applyFont="1" applyFill="1" applyAlignment="1" applyProtection="1">
      <alignment horizontal="left"/>
    </xf>
    <xf numFmtId="167" fontId="0" fillId="0" borderId="0" xfId="0" applyNumberFormat="1" applyFill="1" applyAlignment="1" applyProtection="1">
      <alignment horizontal="center"/>
    </xf>
    <xf numFmtId="167" fontId="0" fillId="2" borderId="1" xfId="0" applyNumberFormat="1" applyFill="1" applyBorder="1" applyAlignment="1" applyProtection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7" fontId="14" fillId="0" borderId="0" xfId="0" applyNumberFormat="1" applyFont="1" applyFill="1" applyAlignment="1" applyProtection="1">
      <alignment horizontal="center"/>
    </xf>
    <xf numFmtId="164" fontId="11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2" fontId="23" fillId="0" borderId="0" xfId="0" applyNumberFormat="1" applyFont="1" applyFill="1" applyBorder="1" applyAlignment="1" applyProtection="1">
      <alignment horizontal="center"/>
    </xf>
    <xf numFmtId="2" fontId="3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29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5" fontId="7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2" fontId="0" fillId="0" borderId="0" xfId="0" applyNumberForma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Border="1" applyAlignment="1">
      <alignment horizontal="center"/>
    </xf>
    <xf numFmtId="43" fontId="0" fillId="0" borderId="0" xfId="4" applyFont="1"/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25" fillId="0" borderId="0" xfId="0" applyNumberFormat="1" applyFont="1" applyFill="1" applyBorder="1"/>
    <xf numFmtId="0" fontId="0" fillId="0" borderId="4" xfId="0" applyBorder="1"/>
    <xf numFmtId="0" fontId="7" fillId="0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43" fillId="0" borderId="0" xfId="0" applyNumberFormat="1" applyFont="1"/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43" fontId="43" fillId="0" borderId="0" xfId="4" applyFont="1"/>
    <xf numFmtId="1" fontId="9" fillId="2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0" fontId="0" fillId="0" borderId="0" xfId="0" applyFill="1"/>
    <xf numFmtId="1" fontId="0" fillId="0" borderId="1" xfId="0" applyNumberFormat="1" applyFill="1" applyBorder="1" applyAlignment="1" applyProtection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2" fontId="7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0" fontId="44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45" fillId="6" borderId="8" xfId="0" applyNumberFormat="1" applyFont="1" applyFill="1" applyBorder="1" applyAlignment="1" applyProtection="1"/>
    <xf numFmtId="0" fontId="0" fillId="6" borderId="9" xfId="0" applyNumberFormat="1" applyFont="1" applyFill="1" applyBorder="1" applyAlignment="1" applyProtection="1">
      <alignment horizontal="right"/>
    </xf>
    <xf numFmtId="0" fontId="46" fillId="6" borderId="9" xfId="0" applyNumberFormat="1" applyFont="1" applyFill="1" applyBorder="1" applyAlignment="1" applyProtection="1"/>
    <xf numFmtId="0" fontId="47" fillId="6" borderId="9" xfId="0" applyNumberFormat="1" applyFont="1" applyFill="1" applyBorder="1" applyAlignment="1" applyProtection="1"/>
    <xf numFmtId="0" fontId="47" fillId="6" borderId="10" xfId="0" applyNumberFormat="1" applyFont="1" applyFill="1" applyBorder="1" applyAlignment="1" applyProtection="1"/>
    <xf numFmtId="0" fontId="45" fillId="6" borderId="6" xfId="0" applyNumberFormat="1" applyFont="1" applyFill="1" applyBorder="1" applyAlignment="1" applyProtection="1">
      <alignment horizontal="left"/>
    </xf>
    <xf numFmtId="0" fontId="0" fillId="6" borderId="0" xfId="0" applyNumberFormat="1" applyFont="1" applyFill="1" applyAlignment="1" applyProtection="1">
      <alignment horizontal="left"/>
    </xf>
    <xf numFmtId="0" fontId="46" fillId="6" borderId="0" xfId="0" applyNumberFormat="1" applyFont="1" applyFill="1" applyAlignment="1" applyProtection="1"/>
    <xf numFmtId="0" fontId="0" fillId="6" borderId="0" xfId="0" applyNumberFormat="1" applyFont="1" applyFill="1" applyAlignment="1" applyProtection="1"/>
    <xf numFmtId="0" fontId="0" fillId="6" borderId="7" xfId="0" applyNumberFormat="1" applyFont="1" applyFill="1" applyBorder="1" applyAlignment="1" applyProtection="1"/>
    <xf numFmtId="14" fontId="46" fillId="6" borderId="0" xfId="0" applyNumberFormat="1" applyFont="1" applyFill="1" applyAlignment="1" applyProtection="1">
      <alignment horizontal="left"/>
    </xf>
    <xf numFmtId="0" fontId="45" fillId="6" borderId="11" xfId="0" applyNumberFormat="1" applyFont="1" applyFill="1" applyBorder="1" applyAlignment="1" applyProtection="1">
      <alignment horizontal="left"/>
    </xf>
    <xf numFmtId="0" fontId="0" fillId="6" borderId="12" xfId="0" applyNumberFormat="1" applyFont="1" applyFill="1" applyBorder="1" applyAlignment="1" applyProtection="1">
      <alignment horizontal="left"/>
    </xf>
    <xf numFmtId="0" fontId="46" fillId="6" borderId="12" xfId="0" applyNumberFormat="1" applyFont="1" applyFill="1" applyBorder="1" applyAlignment="1" applyProtection="1"/>
    <xf numFmtId="0" fontId="0" fillId="6" borderId="12" xfId="0" applyNumberFormat="1" applyFont="1" applyFill="1" applyBorder="1" applyAlignment="1" applyProtection="1"/>
    <xf numFmtId="0" fontId="0" fillId="6" borderId="13" xfId="0" applyNumberFormat="1" applyFont="1" applyFill="1" applyBorder="1" applyAlignment="1" applyProtection="1"/>
    <xf numFmtId="0" fontId="45" fillId="6" borderId="5" xfId="0" applyNumberFormat="1" applyFont="1" applyFill="1" applyBorder="1" applyAlignment="1" applyProtection="1"/>
    <xf numFmtId="0" fontId="45" fillId="6" borderId="2" xfId="0" applyNumberFormat="1" applyFont="1" applyFill="1" applyBorder="1" applyAlignment="1" applyProtection="1"/>
    <xf numFmtId="0" fontId="45" fillId="6" borderId="6" xfId="0" applyNumberFormat="1" applyFont="1" applyFill="1" applyBorder="1" applyAlignment="1" applyProtection="1"/>
    <xf numFmtId="0" fontId="44" fillId="6" borderId="2" xfId="0" applyNumberFormat="1" applyFont="1" applyFill="1" applyBorder="1" applyAlignment="1" applyProtection="1"/>
    <xf numFmtId="0" fontId="44" fillId="6" borderId="6" xfId="0" applyNumberFormat="1" applyFont="1" applyFill="1" applyBorder="1" applyAlignment="1" applyProtection="1"/>
    <xf numFmtId="2" fontId="44" fillId="6" borderId="6" xfId="0" applyNumberFormat="1" applyFont="1" applyFill="1" applyBorder="1" applyAlignment="1" applyProtection="1"/>
    <xf numFmtId="169" fontId="44" fillId="6" borderId="6" xfId="0" applyNumberFormat="1" applyFont="1" applyFill="1" applyBorder="1" applyAlignment="1" applyProtection="1"/>
    <xf numFmtId="2" fontId="44" fillId="6" borderId="2" xfId="0" applyNumberFormat="1" applyFont="1" applyFill="1" applyBorder="1" applyAlignment="1" applyProtection="1"/>
    <xf numFmtId="1" fontId="46" fillId="0" borderId="5" xfId="0" applyNumberFormat="1" applyFont="1" applyFill="1" applyBorder="1" applyAlignment="1" applyProtection="1">
      <alignment horizontal="left"/>
    </xf>
    <xf numFmtId="2" fontId="46" fillId="0" borderId="10" xfId="0" applyNumberFormat="1" applyFont="1" applyFill="1" applyBorder="1" applyAlignment="1" applyProtection="1"/>
    <xf numFmtId="2" fontId="46" fillId="0" borderId="5" xfId="0" applyNumberFormat="1" applyFont="1" applyFill="1" applyBorder="1" applyAlignment="1" applyProtection="1"/>
    <xf numFmtId="2" fontId="46" fillId="7" borderId="5" xfId="0" applyNumberFormat="1" applyFont="1" applyFill="1" applyBorder="1" applyAlignment="1" applyProtection="1"/>
    <xf numFmtId="2" fontId="46" fillId="8" borderId="5" xfId="0" applyNumberFormat="1" applyFont="1" applyFill="1" applyBorder="1" applyAlignment="1" applyProtection="1"/>
    <xf numFmtId="2" fontId="46" fillId="9" borderId="5" xfId="0" applyNumberFormat="1" applyFont="1" applyFill="1" applyBorder="1" applyAlignment="1" applyProtection="1"/>
    <xf numFmtId="43" fontId="40" fillId="0" borderId="0" xfId="4" applyFont="1"/>
    <xf numFmtId="0" fontId="45" fillId="0" borderId="0" xfId="0" applyNumberFormat="1" applyFont="1" applyFill="1" applyBorder="1" applyAlignment="1" applyProtection="1"/>
    <xf numFmtId="2" fontId="46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1" fillId="0" borderId="0" xfId="0" applyFont="1"/>
    <xf numFmtId="0" fontId="0" fillId="0" borderId="15" xfId="0" applyBorder="1"/>
    <xf numFmtId="0" fontId="0" fillId="0" borderId="0" xfId="0" applyAlignment="1">
      <alignment horizontal="center"/>
    </xf>
    <xf numFmtId="16" fontId="0" fillId="0" borderId="0" xfId="0" applyNumberFormat="1"/>
    <xf numFmtId="16" fontId="0" fillId="0" borderId="0" xfId="0" applyNumberFormat="1" applyFill="1" applyBorder="1"/>
    <xf numFmtId="0" fontId="31" fillId="0" borderId="0" xfId="1"/>
    <xf numFmtId="2" fontId="0" fillId="0" borderId="0" xfId="0" applyNumberFormat="1" applyFont="1" applyFill="1" applyBorder="1" applyAlignment="1" applyProtection="1">
      <alignment horizontal="center"/>
    </xf>
    <xf numFmtId="165" fontId="54" fillId="0" borderId="0" xfId="0" applyNumberFormat="1" applyFont="1"/>
    <xf numFmtId="0" fontId="0" fillId="0" borderId="0" xfId="0" applyFont="1" applyFill="1" applyBorder="1" applyAlignment="1"/>
    <xf numFmtId="1" fontId="0" fillId="0" borderId="0" xfId="0" applyNumberFormat="1" applyFont="1" applyFill="1" applyBorder="1" applyAlignment="1"/>
    <xf numFmtId="2" fontId="0" fillId="0" borderId="0" xfId="4" applyNumberFormat="1" applyFont="1" applyBorder="1" applyAlignment="1">
      <alignment vertical="center"/>
    </xf>
    <xf numFmtId="2" fontId="8" fillId="3" borderId="0" xfId="0" applyNumberFormat="1" applyFont="1" applyFill="1" applyBorder="1" applyAlignment="1">
      <alignment vertical="center"/>
    </xf>
    <xf numFmtId="164" fontId="26" fillId="3" borderId="0" xfId="0" applyNumberFormat="1" applyFont="1" applyFill="1" applyBorder="1" applyAlignment="1"/>
    <xf numFmtId="1" fontId="8" fillId="2" borderId="0" xfId="0" applyNumberFormat="1" applyFont="1" applyFill="1" applyBorder="1" applyAlignment="1" applyProtection="1"/>
    <xf numFmtId="2" fontId="43" fillId="0" borderId="0" xfId="0" applyNumberFormat="1" applyFont="1" applyBorder="1" applyAlignment="1"/>
    <xf numFmtId="168" fontId="0" fillId="0" borderId="0" xfId="4" applyNumberFormat="1" applyFont="1" applyBorder="1" applyAlignment="1"/>
    <xf numFmtId="43" fontId="0" fillId="0" borderId="0" xfId="4" applyFont="1" applyBorder="1" applyAlignment="1"/>
    <xf numFmtId="165" fontId="0" fillId="0" borderId="0" xfId="0" applyNumberFormat="1" applyFont="1" applyBorder="1" applyAlignment="1"/>
    <xf numFmtId="165" fontId="43" fillId="0" borderId="0" xfId="0" applyNumberFormat="1" applyFont="1" applyBorder="1" applyAlignment="1"/>
    <xf numFmtId="43" fontId="43" fillId="0" borderId="0" xfId="4" applyFont="1" applyBorder="1" applyAlignment="1"/>
    <xf numFmtId="2" fontId="0" fillId="0" borderId="0" xfId="4" applyNumberFormat="1" applyFont="1" applyBorder="1" applyAlignment="1"/>
    <xf numFmtId="43" fontId="40" fillId="0" borderId="0" xfId="4" applyFont="1" applyBorder="1" applyAlignment="1"/>
    <xf numFmtId="2" fontId="32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2" fillId="0" borderId="0" xfId="4" applyNumberFormat="1" applyFont="1" applyFill="1" applyBorder="1" applyAlignment="1">
      <alignment horizontal="center" vertical="center"/>
    </xf>
    <xf numFmtId="2" fontId="2" fillId="0" borderId="0" xfId="94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4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0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30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 applyProtection="1">
      <alignment horizontal="left"/>
    </xf>
    <xf numFmtId="164" fontId="30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5" fontId="36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5" fontId="0" fillId="0" borderId="0" xfId="0" applyNumberFormat="1" applyFill="1" applyBorder="1" applyAlignment="1">
      <alignment horizontal="left"/>
    </xf>
    <xf numFmtId="0" fontId="0" fillId="0" borderId="0" xfId="0" applyFont="1" applyBorder="1" applyAlignment="1"/>
    <xf numFmtId="15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2" fontId="57" fillId="0" borderId="0" xfId="0" applyNumberFormat="1" applyFont="1" applyBorder="1" applyAlignment="1"/>
    <xf numFmtId="1" fontId="0" fillId="0" borderId="0" xfId="0" applyNumberFormat="1" applyFont="1" applyBorder="1" applyAlignment="1"/>
    <xf numFmtId="164" fontId="57" fillId="0" borderId="0" xfId="0" applyNumberFormat="1" applyFont="1" applyBorder="1" applyAlignment="1"/>
    <xf numFmtId="164" fontId="0" fillId="0" borderId="0" xfId="0" applyNumberFormat="1" applyFont="1" applyBorder="1" applyAlignment="1"/>
    <xf numFmtId="2" fontId="58" fillId="0" borderId="0" xfId="4" applyNumberFormat="1" applyFont="1" applyBorder="1" applyAlignment="1">
      <alignment vertical="center"/>
    </xf>
    <xf numFmtId="2" fontId="0" fillId="0" borderId="0" xfId="0" applyNumberFormat="1" applyFont="1" applyBorder="1" applyAlignment="1"/>
    <xf numFmtId="2" fontId="58" fillId="0" borderId="0" xfId="94" applyNumberFormat="1" applyFont="1" applyBorder="1" applyAlignment="1"/>
    <xf numFmtId="2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59" fillId="0" borderId="0" xfId="0" applyNumberFormat="1" applyFont="1" applyFill="1" applyBorder="1" applyAlignment="1" applyProtection="1"/>
    <xf numFmtId="164" fontId="0" fillId="8" borderId="0" xfId="0" applyNumberFormat="1" applyFont="1" applyFill="1" applyBorder="1" applyAlignment="1" applyProtection="1"/>
    <xf numFmtId="167" fontId="0" fillId="3" borderId="0" xfId="0" applyNumberFormat="1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/>
    <xf numFmtId="2" fontId="0" fillId="2" borderId="0" xfId="0" applyNumberFormat="1" applyFont="1" applyFill="1" applyBorder="1" applyAlignment="1" applyProtection="1"/>
    <xf numFmtId="1" fontId="0" fillId="2" borderId="0" xfId="0" applyNumberFormat="1" applyFont="1" applyFill="1" applyBorder="1" applyAlignment="1" applyProtection="1"/>
    <xf numFmtId="164" fontId="0" fillId="2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7" fontId="0" fillId="2" borderId="0" xfId="0" applyNumberFormat="1" applyFont="1" applyFill="1" applyBorder="1" applyAlignment="1" applyProtection="1"/>
    <xf numFmtId="165" fontId="58" fillId="0" borderId="0" xfId="4" applyNumberFormat="1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/>
    <xf numFmtId="2" fontId="57" fillId="0" borderId="0" xfId="0" applyNumberFormat="1" applyFont="1" applyFill="1" applyBorder="1" applyAlignment="1" applyProtection="1"/>
    <xf numFmtId="1" fontId="0" fillId="0" borderId="0" xfId="132" applyNumberFormat="1" applyFont="1" applyBorder="1" applyAlignment="1" applyProtection="1"/>
    <xf numFmtId="164" fontId="57" fillId="0" borderId="0" xfId="0" applyNumberFormat="1" applyFont="1" applyFill="1" applyBorder="1" applyAlignment="1" applyProtection="1"/>
    <xf numFmtId="164" fontId="0" fillId="3" borderId="0" xfId="0" applyNumberFormat="1" applyFont="1" applyFill="1" applyBorder="1" applyAlignment="1">
      <alignment vertical="center"/>
    </xf>
    <xf numFmtId="1" fontId="57" fillId="0" borderId="0" xfId="0" applyNumberFormat="1" applyFont="1" applyBorder="1" applyAlignment="1"/>
    <xf numFmtId="2" fontId="59" fillId="0" borderId="0" xfId="0" applyNumberFormat="1" applyFont="1" applyFill="1" applyBorder="1" applyAlignment="1" applyProtection="1"/>
    <xf numFmtId="2" fontId="60" fillId="0" borderId="0" xfId="0" applyNumberFormat="1" applyFont="1" applyFill="1" applyBorder="1" applyAlignment="1" applyProtection="1"/>
    <xf numFmtId="2" fontId="57" fillId="0" borderId="0" xfId="94" applyNumberFormat="1" applyFont="1" applyBorder="1" applyAlignment="1"/>
    <xf numFmtId="165" fontId="0" fillId="0" borderId="0" xfId="0" applyNumberFormat="1" applyFont="1" applyFill="1" applyBorder="1" applyAlignment="1"/>
    <xf numFmtId="15" fontId="0" fillId="0" borderId="0" xfId="0" applyNumberFormat="1" applyFont="1" applyBorder="1" applyAlignmen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165" fontId="7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>
      <alignment horizontal="center"/>
    </xf>
    <xf numFmtId="2" fontId="40" fillId="3" borderId="0" xfId="0" applyNumberFormat="1" applyFont="1" applyFill="1" applyBorder="1" applyAlignment="1">
      <alignment horizontal="center" vertical="center"/>
    </xf>
    <xf numFmtId="1" fontId="40" fillId="2" borderId="1" xfId="0" applyNumberFormat="1" applyFont="1" applyFill="1" applyBorder="1" applyAlignment="1" applyProtection="1">
      <alignment horizontal="center"/>
    </xf>
    <xf numFmtId="1" fontId="62" fillId="2" borderId="1" xfId="0" applyNumberFormat="1" applyFont="1" applyFill="1" applyBorder="1" applyAlignment="1" applyProtection="1">
      <alignment horizontal="center"/>
    </xf>
    <xf numFmtId="0" fontId="0" fillId="0" borderId="3" xfId="0" applyFont="1" applyBorder="1"/>
    <xf numFmtId="0" fontId="0" fillId="0" borderId="0" xfId="0" applyFont="1" applyFill="1" applyBorder="1"/>
    <xf numFmtId="15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9" fillId="0" borderId="0" xfId="0" applyFont="1"/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Border="1"/>
    <xf numFmtId="2" fontId="0" fillId="4" borderId="7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3" borderId="0" xfId="0" applyNumberFormat="1" applyFont="1" applyFill="1" applyBorder="1" applyAlignment="1">
      <alignment horizontal="center" vertical="center"/>
    </xf>
    <xf numFmtId="167" fontId="0" fillId="3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 applyProtection="1">
      <alignment horizontal="center"/>
    </xf>
    <xf numFmtId="1" fontId="0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 applyProtection="1">
      <alignment horizontal="center"/>
    </xf>
    <xf numFmtId="2" fontId="0" fillId="2" borderId="1" xfId="0" applyNumberFormat="1" applyFont="1" applyFill="1" applyBorder="1" applyAlignment="1" applyProtection="1">
      <alignment horizontal="center"/>
    </xf>
    <xf numFmtId="1" fontId="0" fillId="2" borderId="1" xfId="0" applyNumberFormat="1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 applyProtection="1">
      <alignment horizontal="center"/>
    </xf>
    <xf numFmtId="167" fontId="0" fillId="2" borderId="1" xfId="0" applyNumberFormat="1" applyFont="1" applyFill="1" applyBorder="1" applyAlignment="1" applyProtection="1">
      <alignment horizontal="center"/>
    </xf>
    <xf numFmtId="2" fontId="0" fillId="3" borderId="1" xfId="0" applyNumberFormat="1" applyFont="1" applyFill="1" applyBorder="1" applyAlignment="1" applyProtection="1">
      <alignment horizontal="center"/>
    </xf>
    <xf numFmtId="167" fontId="0" fillId="3" borderId="1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>
      <alignment horizontal="center"/>
    </xf>
    <xf numFmtId="1" fontId="26" fillId="3" borderId="0" xfId="0" applyNumberFormat="1" applyFont="1" applyFill="1" applyBorder="1" applyAlignment="1">
      <alignment horizontal="center"/>
    </xf>
    <xf numFmtId="1" fontId="63" fillId="3" borderId="0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 applyProtection="1">
      <alignment horizontal="center"/>
    </xf>
    <xf numFmtId="1" fontId="0" fillId="5" borderId="1" xfId="0" applyNumberFormat="1" applyFont="1" applyFill="1" applyBorder="1" applyAlignment="1" applyProtection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65" fontId="0" fillId="0" borderId="0" xfId="0" applyNumberFormat="1" applyFont="1"/>
    <xf numFmtId="1" fontId="0" fillId="0" borderId="0" xfId="0" applyNumberFormat="1"/>
    <xf numFmtId="1" fontId="0" fillId="0" borderId="0" xfId="0" applyNumberFormat="1" applyFont="1"/>
    <xf numFmtId="170" fontId="0" fillId="0" borderId="0" xfId="4" applyNumberFormat="1" applyFont="1"/>
  </cellXfs>
  <cellStyles count="133">
    <cellStyle name="Comma" xfId="4" builtinId="3"/>
    <cellStyle name="Followed Hyperlink" xfId="2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Hyperlink" xfId="132" builtinId="8"/>
    <cellStyle name="Normal" xfId="0" builtinId="0"/>
    <cellStyle name="Normal 2" xfId="1"/>
    <cellStyle name="Normal 3" xfId="3"/>
    <cellStyle name="Normal 4" xfId="6"/>
    <cellStyle name="Normal 5" xfId="52"/>
    <cellStyle name="Normal 6" xfId="5"/>
    <cellStyle name="Normal 7" xfId="94"/>
    <cellStyle name="Percent 2" xfId="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849768136843712"/>
          <c:h val="0.817943152802788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'2015 Data'!$AV$2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Data'!$AV$19:$AV$50</c:f>
              <c:numCache>
                <c:formatCode>0</c:formatCode>
                <c:ptCount val="32"/>
                <c:pt idx="0">
                  <c:v>275.81216627576225</c:v>
                </c:pt>
                <c:pt idx="3">
                  <c:v>1193.6723389390688</c:v>
                </c:pt>
                <c:pt idx="6">
                  <c:v>1045.8106691950695</c:v>
                </c:pt>
                <c:pt idx="9">
                  <c:v>1133.9887219921152</c:v>
                </c:pt>
                <c:pt idx="12">
                  <c:v>107.49039373222216</c:v>
                </c:pt>
                <c:pt idx="15">
                  <c:v>204.55112530565398</c:v>
                </c:pt>
                <c:pt idx="18">
                  <c:v>1206.0981086880581</c:v>
                </c:pt>
                <c:pt idx="21">
                  <c:v>813.81306452417778</c:v>
                </c:pt>
                <c:pt idx="24" formatCode="0.0">
                  <c:v>827.28679075802177</c:v>
                </c:pt>
                <c:pt idx="27">
                  <c:v>185.93742202704723</c:v>
                </c:pt>
                <c:pt idx="30">
                  <c:v>153.15135485802682</c:v>
                </c:pt>
              </c:numCache>
            </c:numRef>
          </c:val>
        </c:ser>
        <c:ser>
          <c:idx val="3"/>
          <c:order val="1"/>
          <c:tx>
            <c:strRef>
              <c:f>'2015 Data'!$AW$2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Data'!$AW$19:$AW$50</c:f>
              <c:numCache>
                <c:formatCode>0.0</c:formatCode>
                <c:ptCount val="32"/>
                <c:pt idx="0">
                  <c:v>92.300098716683124</c:v>
                </c:pt>
                <c:pt idx="3">
                  <c:v>182.13228035538003</c:v>
                </c:pt>
                <c:pt idx="6">
                  <c:v>238.9766370516617</c:v>
                </c:pt>
                <c:pt idx="9" formatCode="0">
                  <c:v>287.5123395853899</c:v>
                </c:pt>
                <c:pt idx="12" formatCode="0">
                  <c:v>43.279039157617639</c:v>
                </c:pt>
                <c:pt idx="15" formatCode="0">
                  <c:v>65.391576176373817</c:v>
                </c:pt>
                <c:pt idx="18" formatCode="0">
                  <c:v>319.84205330700888</c:v>
                </c:pt>
                <c:pt idx="21">
                  <c:v>217.58802237578152</c:v>
                </c:pt>
                <c:pt idx="24">
                  <c:v>261.92826587693321</c:v>
                </c:pt>
                <c:pt idx="27" formatCode="0">
                  <c:v>69.151036525172756</c:v>
                </c:pt>
                <c:pt idx="30">
                  <c:v>54.647910496873969</c:v>
                </c:pt>
              </c:numCache>
            </c:numRef>
          </c:val>
        </c:ser>
        <c:ser>
          <c:idx val="4"/>
          <c:order val="2"/>
          <c:tx>
            <c:strRef>
              <c:f>'2015 Data'!$AX$2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Data'!$AX$19:$AX$50</c:f>
              <c:numCache>
                <c:formatCode>0.00</c:formatCode>
                <c:ptCount val="32"/>
                <c:pt idx="0" formatCode="0.0">
                  <c:v>80.991735537190095</c:v>
                </c:pt>
                <c:pt idx="3" formatCode="0.0">
                  <c:v>61.983471074380176</c:v>
                </c:pt>
                <c:pt idx="6" formatCode="0">
                  <c:v>860.46107003044801</c:v>
                </c:pt>
                <c:pt idx="9" formatCode="0">
                  <c:v>422.00956937799043</c:v>
                </c:pt>
                <c:pt idx="12" formatCode="0">
                  <c:v>64.071335363201413</c:v>
                </c:pt>
                <c:pt idx="15" formatCode="0">
                  <c:v>128.01217920835148</c:v>
                </c:pt>
                <c:pt idx="18" formatCode="0">
                  <c:v>391.43105698129625</c:v>
                </c:pt>
                <c:pt idx="21" formatCode="0">
                  <c:v>564.46280991735546</c:v>
                </c:pt>
                <c:pt idx="24">
                  <c:v>457.80774249673777</c:v>
                </c:pt>
                <c:pt idx="27" formatCode="0">
                  <c:v>192.30100043497174</c:v>
                </c:pt>
                <c:pt idx="30" formatCode="0.0">
                  <c:v>80.382775119617236</c:v>
                </c:pt>
              </c:numCache>
            </c:numRef>
          </c:val>
        </c:ser>
        <c:ser>
          <c:idx val="5"/>
          <c:order val="3"/>
          <c:tx>
            <c:strRef>
              <c:f>'2015 Data'!$AY$2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Data'!$AY$19:$AY$50</c:f>
              <c:numCache>
                <c:formatCode>0.00</c:formatCode>
                <c:ptCount val="32"/>
                <c:pt idx="0">
                  <c:v>13.249961638790856</c:v>
                </c:pt>
                <c:pt idx="3">
                  <c:v>55.958774487238507</c:v>
                </c:pt>
                <c:pt idx="6">
                  <c:v>76.870748299319729</c:v>
                </c:pt>
                <c:pt idx="9" formatCode="0.0">
                  <c:v>43.757352565086194</c:v>
                </c:pt>
                <c:pt idx="12" formatCode="0.0">
                  <c:v>10.631169761137539</c:v>
                </c:pt>
                <c:pt idx="15" formatCode="0.0">
                  <c:v>15.045266226791471</c:v>
                </c:pt>
                <c:pt idx="18" formatCode="0.0">
                  <c:v>69.51051097130582</c:v>
                </c:pt>
                <c:pt idx="21">
                  <c:v>60.585136310163172</c:v>
                </c:pt>
                <c:pt idx="24">
                  <c:v>84.241215283105731</c:v>
                </c:pt>
                <c:pt idx="27" formatCode="0.0">
                  <c:v>19.794383918981129</c:v>
                </c:pt>
                <c:pt idx="30">
                  <c:v>10.482839752442331</c:v>
                </c:pt>
              </c:numCache>
            </c:numRef>
          </c:val>
        </c:ser>
        <c:ser>
          <c:idx val="1"/>
          <c:order val="4"/>
          <c:tx>
            <c:strRef>
              <c:f>'2015 Data'!$AU$2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Data'!$AU$19:$AU$50</c:f>
              <c:numCache>
                <c:formatCode>0.00</c:formatCode>
                <c:ptCount val="32"/>
                <c:pt idx="0">
                  <c:v>3.4673685045253172E-2</c:v>
                </c:pt>
                <c:pt idx="3">
                  <c:v>1.5135612484362029E-2</c:v>
                </c:pt>
                <c:pt idx="6">
                  <c:v>4.1686938347033513E-2</c:v>
                </c:pt>
                <c:pt idx="9">
                  <c:v>1.4791083881682026E-2</c:v>
                </c:pt>
                <c:pt idx="12">
                  <c:v>0.15488166189124805</c:v>
                </c:pt>
                <c:pt idx="15">
                  <c:v>9.5499258602143561E-2</c:v>
                </c:pt>
                <c:pt idx="18">
                  <c:v>4.3651583224016563E-2</c:v>
                </c:pt>
                <c:pt idx="21">
                  <c:v>5.3703179637025193E-2</c:v>
                </c:pt>
                <c:pt idx="24">
                  <c:v>6.6069344800759433E-2</c:v>
                </c:pt>
                <c:pt idx="27">
                  <c:v>0.61659500186148142</c:v>
                </c:pt>
                <c:pt idx="30">
                  <c:v>2.7542287033381663</c:v>
                </c:pt>
              </c:numCache>
            </c:numRef>
          </c:val>
        </c:ser>
        <c:ser>
          <c:idx val="11"/>
          <c:order val="5"/>
          <c:tx>
            <c:strRef>
              <c:f>'2015 Data'!$BE$2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Data'!$BE$19:$BE$50</c:f>
              <c:numCache>
                <c:formatCode>0</c:formatCode>
                <c:ptCount val="32"/>
                <c:pt idx="1">
                  <c:v>234.32400067016667</c:v>
                </c:pt>
                <c:pt idx="4">
                  <c:v>1605.214945241351</c:v>
                </c:pt>
                <c:pt idx="7">
                  <c:v>1117.1355220883343</c:v>
                </c:pt>
                <c:pt idx="10">
                  <c:v>1731.9310674715919</c:v>
                </c:pt>
                <c:pt idx="13">
                  <c:v>72.039392442099611</c:v>
                </c:pt>
                <c:pt idx="16">
                  <c:v>198.50124965674564</c:v>
                </c:pt>
                <c:pt idx="19">
                  <c:v>1597.5554206731201</c:v>
                </c:pt>
                <c:pt idx="22">
                  <c:v>762.13104088384182</c:v>
                </c:pt>
                <c:pt idx="25">
                  <c:v>951.43939102091826</c:v>
                </c:pt>
                <c:pt idx="28">
                  <c:v>178.53917676191134</c:v>
                </c:pt>
                <c:pt idx="31">
                  <c:v>79.689872067314028</c:v>
                </c:pt>
              </c:numCache>
            </c:numRef>
          </c:val>
        </c:ser>
        <c:ser>
          <c:idx val="6"/>
          <c:order val="6"/>
          <c:tx>
            <c:strRef>
              <c:f>'2015 Data'!$AZ$2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Data'!$AZ$19:$AZ$50</c:f>
              <c:numCache>
                <c:formatCode>0.0</c:formatCode>
                <c:ptCount val="32"/>
                <c:pt idx="1">
                  <c:v>157.31457183503733</c:v>
                </c:pt>
                <c:pt idx="4" formatCode="0">
                  <c:v>131.62099589917275</c:v>
                </c:pt>
                <c:pt idx="7">
                  <c:v>406.78405897163742</c:v>
                </c:pt>
                <c:pt idx="10" formatCode="0">
                  <c:v>152.86881727175142</c:v>
                </c:pt>
                <c:pt idx="13" formatCode="0">
                  <c:v>36.48013458885567</c:v>
                </c:pt>
                <c:pt idx="16" formatCode="0">
                  <c:v>70.088521593686067</c:v>
                </c:pt>
                <c:pt idx="19" formatCode="0">
                  <c:v>216.62097908431423</c:v>
                </c:pt>
                <c:pt idx="22">
                  <c:v>330.52531380932891</c:v>
                </c:pt>
                <c:pt idx="25">
                  <c:v>248.57582620458192</c:v>
                </c:pt>
                <c:pt idx="28" formatCode="0">
                  <c:v>59.436735615443951</c:v>
                </c:pt>
                <c:pt idx="31" formatCode="0">
                  <c:v>55.773810588538126</c:v>
                </c:pt>
              </c:numCache>
            </c:numRef>
          </c:val>
        </c:ser>
        <c:ser>
          <c:idx val="7"/>
          <c:order val="7"/>
          <c:tx>
            <c:strRef>
              <c:f>'2015 Data'!$BA$2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Data'!$BA$19:$BA$50</c:f>
              <c:numCache>
                <c:formatCode>0.0</c:formatCode>
                <c:ptCount val="32"/>
                <c:pt idx="1">
                  <c:v>3.4001028395335209</c:v>
                </c:pt>
                <c:pt idx="4">
                  <c:v>2.3286925372691916</c:v>
                </c:pt>
                <c:pt idx="7">
                  <c:v>2.5348300440324674</c:v>
                </c:pt>
                <c:pt idx="10">
                  <c:v>0.80636447351657159</c:v>
                </c:pt>
                <c:pt idx="13">
                  <c:v>7.2860873576819589</c:v>
                </c:pt>
                <c:pt idx="16">
                  <c:v>9.0758243529633358</c:v>
                </c:pt>
                <c:pt idx="19">
                  <c:v>26.028999637903688</c:v>
                </c:pt>
                <c:pt idx="22">
                  <c:v>61.982730408513916</c:v>
                </c:pt>
                <c:pt idx="25">
                  <c:v>109.81236757878384</c:v>
                </c:pt>
                <c:pt idx="28">
                  <c:v>4.4001622629960915</c:v>
                </c:pt>
                <c:pt idx="31">
                  <c:v>2.3302985056023502</c:v>
                </c:pt>
              </c:numCache>
            </c:numRef>
          </c:val>
        </c:ser>
        <c:ser>
          <c:idx val="8"/>
          <c:order val="8"/>
          <c:tx>
            <c:strRef>
              <c:f>'2015 Data'!$BB$2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Data'!$BB$19:$BB$50</c:f>
              <c:numCache>
                <c:formatCode>0.0</c:formatCode>
                <c:ptCount val="32"/>
                <c:pt idx="1">
                  <c:v>69.382641796524268</c:v>
                </c:pt>
                <c:pt idx="4">
                  <c:v>17.645788167612437</c:v>
                </c:pt>
                <c:pt idx="7" formatCode="0">
                  <c:v>983.98646201666702</c:v>
                </c:pt>
                <c:pt idx="10" formatCode="0">
                  <c:v>336.93750469142407</c:v>
                </c:pt>
                <c:pt idx="13" formatCode="0">
                  <c:v>48.675016258210107</c:v>
                </c:pt>
                <c:pt idx="16" formatCode="0">
                  <c:v>123.48485939560162</c:v>
                </c:pt>
                <c:pt idx="19" formatCode="0">
                  <c:v>429.55169537215397</c:v>
                </c:pt>
                <c:pt idx="22" formatCode="0">
                  <c:v>669.51847957621862</c:v>
                </c:pt>
                <c:pt idx="25">
                  <c:v>611.53898799240415</c:v>
                </c:pt>
                <c:pt idx="28" formatCode="0">
                  <c:v>178.11220590938063</c:v>
                </c:pt>
                <c:pt idx="31">
                  <c:v>66.784560978286862</c:v>
                </c:pt>
              </c:numCache>
            </c:numRef>
          </c:val>
        </c:ser>
        <c:ser>
          <c:idx val="9"/>
          <c:order val="9"/>
          <c:tx>
            <c:strRef>
              <c:f>'2015 Data'!$BC$2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Data'!$BC$19:$BC$47</c:f>
              <c:numCache>
                <c:formatCode>0.0</c:formatCode>
                <c:ptCount val="29"/>
                <c:pt idx="1">
                  <c:v>2.7744544499303436</c:v>
                </c:pt>
                <c:pt idx="4">
                  <c:v>4.596498442565168</c:v>
                </c:pt>
                <c:pt idx="7">
                  <c:v>5.5355084240690502</c:v>
                </c:pt>
                <c:pt idx="10">
                  <c:v>2.9911763678001702</c:v>
                </c:pt>
                <c:pt idx="13">
                  <c:v>4.7324276291873151</c:v>
                </c:pt>
                <c:pt idx="16">
                  <c:v>5.5804972107602033</c:v>
                </c:pt>
                <c:pt idx="19">
                  <c:v>6.639108185837304</c:v>
                </c:pt>
                <c:pt idx="22">
                  <c:v>5.7942870539914475</c:v>
                </c:pt>
                <c:pt idx="25">
                  <c:v>11.927606761720719</c:v>
                </c:pt>
                <c:pt idx="28">
                  <c:v>5.195892222335261</c:v>
                </c:pt>
              </c:numCache>
            </c:numRef>
          </c:val>
        </c:ser>
        <c:ser>
          <c:idx val="10"/>
          <c:order val="10"/>
          <c:tx>
            <c:strRef>
              <c:f>'2015 Data'!$BD$2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Data'!$BD$19:$BD$47</c:f>
              <c:numCache>
                <c:formatCode>0.0</c:formatCode>
                <c:ptCount val="29"/>
                <c:pt idx="1">
                  <c:v>0.96867936712948011</c:v>
                </c:pt>
                <c:pt idx="4">
                  <c:v>0.58120762027768813</c:v>
                </c:pt>
                <c:pt idx="7">
                  <c:v>0.38747174685179209</c:v>
                </c:pt>
                <c:pt idx="10">
                  <c:v>0.29060381013884407</c:v>
                </c:pt>
                <c:pt idx="13">
                  <c:v>0.19373587342589604</c:v>
                </c:pt>
                <c:pt idx="16">
                  <c:v>0.19373587342589604</c:v>
                </c:pt>
                <c:pt idx="19">
                  <c:v>6.1995479496286734</c:v>
                </c:pt>
                <c:pt idx="22">
                  <c:v>0.58120762027768813</c:v>
                </c:pt>
                <c:pt idx="25">
                  <c:v>3.4872457216661288</c:v>
                </c:pt>
                <c:pt idx="28">
                  <c:v>0.58120762027768813</c:v>
                </c:pt>
              </c:numCache>
            </c:numRef>
          </c:val>
        </c:ser>
        <c:ser>
          <c:idx val="0"/>
          <c:order val="11"/>
          <c:tx>
            <c:strRef>
              <c:f>'2015 Data'!$AQ$2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Data'!$BF$19:$BF$50</c:f>
              <c:numCache>
                <c:formatCode>0.0</c:formatCode>
                <c:ptCount val="32"/>
                <c:pt idx="1">
                  <c:v>12.136324024003823</c:v>
                </c:pt>
                <c:pt idx="4">
                  <c:v>9.3469600822962811</c:v>
                </c:pt>
                <c:pt idx="7">
                  <c:v>33.580299560193197</c:v>
                </c:pt>
                <c:pt idx="10">
                  <c:v>48.379461591114882</c:v>
                </c:pt>
                <c:pt idx="13">
                  <c:v>29.221939699359126</c:v>
                </c:pt>
                <c:pt idx="16">
                  <c:v>30.216400706392562</c:v>
                </c:pt>
                <c:pt idx="19">
                  <c:v>32.361767447256355</c:v>
                </c:pt>
                <c:pt idx="22">
                  <c:v>48.72688830343531</c:v>
                </c:pt>
                <c:pt idx="25">
                  <c:v>51.050132167962396</c:v>
                </c:pt>
                <c:pt idx="28">
                  <c:v>68.312993717803991</c:v>
                </c:pt>
                <c:pt idx="31">
                  <c:v>89.062445574212532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443520"/>
        <c:axId val="132465792"/>
      </c:barChart>
      <c:catAx>
        <c:axId val="13244352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32465792"/>
        <c:crosses val="autoZero"/>
        <c:auto val="1"/>
        <c:lblAlgn val="ctr"/>
        <c:lblOffset val="100"/>
        <c:noMultiLvlLbl val="0"/>
      </c:catAx>
      <c:valAx>
        <c:axId val="132465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ueq/L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244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191277687904004"/>
          <c:y val="1.2584919112937746E-2"/>
          <c:w val="0.73654974875582557"/>
          <c:h val="9.14233037174786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Aluminium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697749156689651"/>
          <c:y val="0.16251166520851559"/>
          <c:w val="0.73600902335503005"/>
          <c:h val="0.530148366870807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Data'!$X$4:$X$14</c:f>
              <c:numCache>
                <c:formatCode>General</c:formatCode>
                <c:ptCount val="11"/>
                <c:pt idx="0">
                  <c:v>43.8</c:v>
                </c:pt>
                <c:pt idx="1">
                  <c:v>33.300000000000004</c:v>
                </c:pt>
                <c:pt idx="2">
                  <c:v>38.5</c:v>
                </c:pt>
                <c:pt idx="3">
                  <c:v>25.9</c:v>
                </c:pt>
                <c:pt idx="4" formatCode="0">
                  <c:v>114.5</c:v>
                </c:pt>
                <c:pt idx="5">
                  <c:v>83.1</c:v>
                </c:pt>
                <c:pt idx="6">
                  <c:v>36.900000000000006</c:v>
                </c:pt>
                <c:pt idx="7">
                  <c:v>70.5</c:v>
                </c:pt>
                <c:pt idx="8" formatCode="0">
                  <c:v>189.29999999999998</c:v>
                </c:pt>
                <c:pt idx="9" formatCode="0">
                  <c:v>199.7</c:v>
                </c:pt>
                <c:pt idx="10" formatCode="0">
                  <c:v>384.2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65056"/>
        <c:axId val="135166592"/>
      </c:barChart>
      <c:catAx>
        <c:axId val="13516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66592"/>
        <c:crosses val="autoZero"/>
        <c:auto val="1"/>
        <c:lblAlgn val="ctr"/>
        <c:lblOffset val="100"/>
        <c:noMultiLvlLbl val="0"/>
      </c:catAx>
      <c:valAx>
        <c:axId val="135166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µeq/L 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516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471707803151337"/>
          <c:y val="0.14399314668999708"/>
          <c:w val="0.75826943689041315"/>
          <c:h val="0.548666885389326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Data'!$Y$4:$Y$14</c:f>
              <c:numCache>
                <c:formatCode>General</c:formatCode>
                <c:ptCount val="11"/>
                <c:pt idx="0">
                  <c:v>28.9</c:v>
                </c:pt>
                <c:pt idx="1">
                  <c:v>24.6</c:v>
                </c:pt>
                <c:pt idx="2">
                  <c:v>31.6</c:v>
                </c:pt>
                <c:pt idx="3">
                  <c:v>25.6</c:v>
                </c:pt>
                <c:pt idx="4">
                  <c:v>40.9</c:v>
                </c:pt>
                <c:pt idx="5">
                  <c:v>57.2</c:v>
                </c:pt>
                <c:pt idx="6" formatCode="0">
                  <c:v>174.5</c:v>
                </c:pt>
                <c:pt idx="7" formatCode="0">
                  <c:v>118.9</c:v>
                </c:pt>
                <c:pt idx="8" formatCode="0">
                  <c:v>228.2</c:v>
                </c:pt>
                <c:pt idx="9" formatCode="0">
                  <c:v>241.2</c:v>
                </c:pt>
                <c:pt idx="10" formatCode="0">
                  <c:v>368.59999999999997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87072"/>
        <c:axId val="135197056"/>
      </c:barChart>
      <c:catAx>
        <c:axId val="1351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97056"/>
        <c:crosses val="autoZero"/>
        <c:auto val="1"/>
        <c:lblAlgn val="ctr"/>
        <c:lblOffset val="100"/>
        <c:noMultiLvlLbl val="0"/>
      </c:catAx>
      <c:valAx>
        <c:axId val="135197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µeq/L Fe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518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Manganese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523921618805317"/>
          <c:y val="0.14399314668999708"/>
          <c:w val="0.77774729873387338"/>
          <c:h val="0.548666885389326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Data'!$Z$4:$Z$14</c:f>
              <c:numCache>
                <c:formatCode>0</c:formatCode>
                <c:ptCount val="11"/>
                <c:pt idx="0" formatCode="General">
                  <c:v>11</c:v>
                </c:pt>
                <c:pt idx="1">
                  <c:v>311.5</c:v>
                </c:pt>
                <c:pt idx="2" formatCode="General">
                  <c:v>10.5</c:v>
                </c:pt>
                <c:pt idx="3" formatCode="General">
                  <c:v>10.5</c:v>
                </c:pt>
                <c:pt idx="4" formatCode="General">
                  <c:v>11.5</c:v>
                </c:pt>
                <c:pt idx="5" formatCode="General">
                  <c:v>13.2</c:v>
                </c:pt>
                <c:pt idx="6">
                  <c:v>111.19999999999999</c:v>
                </c:pt>
                <c:pt idx="7" formatCode="General">
                  <c:v>22.2</c:v>
                </c:pt>
                <c:pt idx="8">
                  <c:v>162.5</c:v>
                </c:pt>
                <c:pt idx="9" formatCode="General">
                  <c:v>59.1</c:v>
                </c:pt>
                <c:pt idx="10" formatCode="General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25728"/>
        <c:axId val="135227264"/>
      </c:barChart>
      <c:catAx>
        <c:axId val="13522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27264"/>
        <c:crosses val="autoZero"/>
        <c:auto val="1"/>
        <c:lblAlgn val="ctr"/>
        <c:lblOffset val="100"/>
        <c:noMultiLvlLbl val="0"/>
      </c:catAx>
      <c:valAx>
        <c:axId val="13522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µg/L Mn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52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1748282962088373E-2"/>
                  <c:y val="0.38582494896471276"/>
                </c:manualLayout>
              </c:layout>
              <c:numFmt formatCode="General" sourceLinked="0"/>
            </c:trendlineLbl>
          </c:trendline>
          <c:xVal>
            <c:numRef>
              <c:f>'2015 Data'!$AZ$4:$AZ$14</c:f>
              <c:numCache>
                <c:formatCode>0.0</c:formatCode>
                <c:ptCount val="11"/>
                <c:pt idx="0">
                  <c:v>157.31457183503733</c:v>
                </c:pt>
                <c:pt idx="1">
                  <c:v>131.62099589917275</c:v>
                </c:pt>
                <c:pt idx="2">
                  <c:v>406.78405897163742</c:v>
                </c:pt>
                <c:pt idx="3">
                  <c:v>152.86881727175142</c:v>
                </c:pt>
                <c:pt idx="4">
                  <c:v>36.48013458885567</c:v>
                </c:pt>
                <c:pt idx="5">
                  <c:v>70.088521593686067</c:v>
                </c:pt>
                <c:pt idx="6">
                  <c:v>216.62097908431423</c:v>
                </c:pt>
                <c:pt idx="7">
                  <c:v>330.52531380932891</c:v>
                </c:pt>
                <c:pt idx="8">
                  <c:v>248.57582620458192</c:v>
                </c:pt>
                <c:pt idx="9">
                  <c:v>59.436735615443951</c:v>
                </c:pt>
                <c:pt idx="10">
                  <c:v>55.773810588538126</c:v>
                </c:pt>
              </c:numCache>
            </c:numRef>
          </c:xVal>
          <c:yVal>
            <c:numRef>
              <c:f>'2015 Data'!$BB$4:$BB$14</c:f>
              <c:numCache>
                <c:formatCode>0.0</c:formatCode>
                <c:ptCount val="11"/>
                <c:pt idx="0">
                  <c:v>69.382641796524268</c:v>
                </c:pt>
                <c:pt idx="1">
                  <c:v>17.645788167612437</c:v>
                </c:pt>
                <c:pt idx="2">
                  <c:v>983.98646201666702</c:v>
                </c:pt>
                <c:pt idx="3">
                  <c:v>336.93750469142407</c:v>
                </c:pt>
                <c:pt idx="4">
                  <c:v>48.675016258210107</c:v>
                </c:pt>
                <c:pt idx="5">
                  <c:v>123.48485939560162</c:v>
                </c:pt>
                <c:pt idx="6">
                  <c:v>429.55169537215397</c:v>
                </c:pt>
                <c:pt idx="7">
                  <c:v>669.51847957621862</c:v>
                </c:pt>
                <c:pt idx="8">
                  <c:v>611.53898799240415</c:v>
                </c:pt>
                <c:pt idx="9">
                  <c:v>178.11220590938063</c:v>
                </c:pt>
                <c:pt idx="10">
                  <c:v>66.784560978286862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69760"/>
        <c:axId val="135284224"/>
      </c:scatterChart>
      <c:valAx>
        <c:axId val="13526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SO4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5284224"/>
        <c:crosses val="autoZero"/>
        <c:crossBetween val="midCat"/>
      </c:valAx>
      <c:valAx>
        <c:axId val="13528422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Cl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5269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'2015 Data'!$AL$2</c:f>
              <c:strCache>
                <c:ptCount val="1"/>
                <c:pt idx="0">
                  <c:v>Free PO4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Data'!$AL$4:$AL$14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64</c:v>
                </c:pt>
                <c:pt idx="7">
                  <c:v>6</c:v>
                </c:pt>
                <c:pt idx="8">
                  <c:v>36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strRef>
              <c:f>'2015 Data'!$AO$2</c:f>
              <c:strCache>
                <c:ptCount val="1"/>
                <c:pt idx="0">
                  <c:v>DOP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Data'!$AO$4:$AO$14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3</c:v>
                </c:pt>
                <c:pt idx="7">
                  <c:v>10</c:v>
                </c:pt>
                <c:pt idx="8">
                  <c:v>32</c:v>
                </c:pt>
                <c:pt idx="9">
                  <c:v>17</c:v>
                </c:pt>
                <c:pt idx="10">
                  <c:v>7</c:v>
                </c:pt>
              </c:numCache>
            </c:numRef>
          </c:val>
        </c:ser>
        <c:ser>
          <c:idx val="2"/>
          <c:order val="2"/>
          <c:tx>
            <c:strRef>
              <c:f>'2015 Data'!$AN$2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'2015 Data'!$AN$4:$AN$14</c:f>
              <c:numCache>
                <c:formatCode>0.0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21</c:v>
                </c:pt>
                <c:pt idx="3">
                  <c:v>13</c:v>
                </c:pt>
                <c:pt idx="4">
                  <c:v>3</c:v>
                </c:pt>
                <c:pt idx="5">
                  <c:v>8</c:v>
                </c:pt>
                <c:pt idx="6">
                  <c:v>131</c:v>
                </c:pt>
                <c:pt idx="7">
                  <c:v>6</c:v>
                </c:pt>
                <c:pt idx="8">
                  <c:v>18</c:v>
                </c:pt>
                <c:pt idx="9">
                  <c:v>10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14048"/>
        <c:axId val="135315840"/>
      </c:barChart>
      <c:catAx>
        <c:axId val="1353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15840"/>
        <c:crosses val="autoZero"/>
        <c:auto val="1"/>
        <c:lblAlgn val="ctr"/>
        <c:lblOffset val="100"/>
        <c:noMultiLvlLbl val="0"/>
      </c:catAx>
      <c:valAx>
        <c:axId val="1353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ug P/L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531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sUVa</a:t>
            </a:r>
          </a:p>
        </c:rich>
      </c:tx>
      <c:layout>
        <c:manualLayout>
          <c:xMode val="edge"/>
          <c:yMode val="edge"/>
          <c:x val="0.52575419933251821"/>
          <c:y val="1.388888888888888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Data'!$R$4:$R$14</c:f>
              <c:numCache>
                <c:formatCode>0.00</c:formatCode>
                <c:ptCount val="11"/>
                <c:pt idx="0">
                  <c:v>1.6136261766024205E-2</c:v>
                </c:pt>
                <c:pt idx="1">
                  <c:v>1.1695906432748538E-3</c:v>
                </c:pt>
                <c:pt idx="2">
                  <c:v>2.4749272080232931E-2</c:v>
                </c:pt>
                <c:pt idx="3">
                  <c:v>2.1242937853107345E-2</c:v>
                </c:pt>
                <c:pt idx="4">
                  <c:v>3.528336380255942E-2</c:v>
                </c:pt>
                <c:pt idx="5">
                  <c:v>3.3671833244254407E-2</c:v>
                </c:pt>
                <c:pt idx="6">
                  <c:v>3.0033557046979863E-2</c:v>
                </c:pt>
                <c:pt idx="7">
                  <c:v>3.3700367033700371E-2</c:v>
                </c:pt>
                <c:pt idx="8">
                  <c:v>3.6546610169491525E-2</c:v>
                </c:pt>
                <c:pt idx="9">
                  <c:v>3.9713639788997744E-2</c:v>
                </c:pt>
                <c:pt idx="10">
                  <c:v>4.4159999999999998E-2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03776"/>
        <c:axId val="140605312"/>
      </c:barChart>
      <c:catAx>
        <c:axId val="14060377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40605312"/>
        <c:crosses val="autoZero"/>
        <c:auto val="1"/>
        <c:lblAlgn val="ctr"/>
        <c:lblOffset val="100"/>
        <c:noMultiLvlLbl val="0"/>
      </c:catAx>
      <c:valAx>
        <c:axId val="140605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sUVa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060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SAR</a:t>
            </a:r>
          </a:p>
        </c:rich>
      </c:tx>
      <c:layout>
        <c:manualLayout>
          <c:xMode val="edge"/>
          <c:yMode val="edge"/>
          <c:x val="0.52575419933251821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16428391707143"/>
          <c:y val="4.6770924467774859E-2"/>
          <c:w val="0.81842921357509946"/>
          <c:h val="0.6412594779819189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Data'!$S$4:$S$14</c:f>
              <c:numCache>
                <c:formatCode>0.00</c:formatCode>
                <c:ptCount val="11"/>
                <c:pt idx="0">
                  <c:v>18</c:v>
                </c:pt>
                <c:pt idx="1">
                  <c:v>4</c:v>
                </c:pt>
                <c:pt idx="2">
                  <c:v>12.75</c:v>
                </c:pt>
                <c:pt idx="3">
                  <c:v>15.666666666666666</c:v>
                </c:pt>
                <c:pt idx="4">
                  <c:v>10.157894736842106</c:v>
                </c:pt>
                <c:pt idx="5">
                  <c:v>9.9473684210526319</c:v>
                </c:pt>
                <c:pt idx="6">
                  <c:v>9.9444444444444446</c:v>
                </c:pt>
                <c:pt idx="7">
                  <c:v>9.7741935483870961</c:v>
                </c:pt>
                <c:pt idx="8">
                  <c:v>8.8461538461538449</c:v>
                </c:pt>
                <c:pt idx="9">
                  <c:v>8.234375</c:v>
                </c:pt>
                <c:pt idx="10">
                  <c:v>7.2631578947368416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30272"/>
        <c:axId val="140705792"/>
      </c:barChart>
      <c:catAx>
        <c:axId val="14063027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40705792"/>
        <c:crosses val="autoZero"/>
        <c:auto val="1"/>
        <c:lblAlgn val="ctr"/>
        <c:lblOffset val="100"/>
        <c:noMultiLvlLbl val="0"/>
      </c:catAx>
      <c:valAx>
        <c:axId val="140705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SAR</a:t>
                </a:r>
                <a:endParaRPr lang="en-US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06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DOC</a:t>
            </a:r>
          </a:p>
        </c:rich>
      </c:tx>
      <c:layout>
        <c:manualLayout>
          <c:xMode val="edge"/>
          <c:yMode val="edge"/>
          <c:x val="0.45941265171691176"/>
          <c:y val="2.777777777777777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Data'!$Q$4:$Q$14</c:f>
              <c:numCache>
                <c:formatCode>0.00</c:formatCode>
                <c:ptCount val="11"/>
                <c:pt idx="0">
                  <c:v>2.2309999999999999</c:v>
                </c:pt>
                <c:pt idx="1">
                  <c:v>1.71</c:v>
                </c:pt>
                <c:pt idx="2">
                  <c:v>6.1820000000000004</c:v>
                </c:pt>
                <c:pt idx="3">
                  <c:v>8.85</c:v>
                </c:pt>
                <c:pt idx="4">
                  <c:v>5.47</c:v>
                </c:pt>
                <c:pt idx="5">
                  <c:v>5.6130000000000004</c:v>
                </c:pt>
                <c:pt idx="6">
                  <c:v>5.96</c:v>
                </c:pt>
                <c:pt idx="7">
                  <c:v>8.9909999999999997</c:v>
                </c:pt>
                <c:pt idx="8">
                  <c:v>9.44</c:v>
                </c:pt>
                <c:pt idx="9">
                  <c:v>13.27</c:v>
                </c:pt>
                <c:pt idx="10">
                  <c:v>18.75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2944"/>
        <c:axId val="140724480"/>
      </c:barChart>
      <c:catAx>
        <c:axId val="14072294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40724480"/>
        <c:crosses val="autoZero"/>
        <c:auto val="1"/>
        <c:lblAlgn val="ctr"/>
        <c:lblOffset val="100"/>
        <c:noMultiLvlLbl val="0"/>
      </c:catAx>
      <c:valAx>
        <c:axId val="140724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mg</a:t>
                </a:r>
                <a:r>
                  <a:rPr lang="nb-NO" baseline="0"/>
                  <a:t> C/L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072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 absorbtion</a:t>
            </a:r>
          </a:p>
        </c:rich>
      </c:tx>
      <c:layout>
        <c:manualLayout>
          <c:xMode val="edge"/>
          <c:yMode val="edge"/>
          <c:x val="0.37925005419627145"/>
          <c:y val="4.16666666666666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Data'!$O$4:$O$14</c:f>
              <c:numCache>
                <c:formatCode>0.000</c:formatCode>
                <c:ptCount val="11"/>
                <c:pt idx="0" formatCode="General">
                  <c:v>2E-3</c:v>
                </c:pt>
                <c:pt idx="1">
                  <c:v>5.0000000000000001E-4</c:v>
                </c:pt>
                <c:pt idx="2" formatCode="General">
                  <c:v>1.2E-2</c:v>
                </c:pt>
                <c:pt idx="3" formatCode="General">
                  <c:v>1.2E-2</c:v>
                </c:pt>
                <c:pt idx="4" formatCode="General">
                  <c:v>1.9E-2</c:v>
                </c:pt>
                <c:pt idx="5" formatCode="General">
                  <c:v>1.9E-2</c:v>
                </c:pt>
                <c:pt idx="6" formatCode="General">
                  <c:v>1.7999999999999999E-2</c:v>
                </c:pt>
                <c:pt idx="7" formatCode="General">
                  <c:v>3.1E-2</c:v>
                </c:pt>
                <c:pt idx="8" formatCode="General">
                  <c:v>3.9E-2</c:v>
                </c:pt>
                <c:pt idx="9" formatCode="General">
                  <c:v>6.4000000000000001E-2</c:v>
                </c:pt>
                <c:pt idx="10" formatCode="General">
                  <c:v>0.114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1344"/>
        <c:axId val="140763136"/>
      </c:barChart>
      <c:catAx>
        <c:axId val="14076134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40763136"/>
        <c:crosses val="autoZero"/>
        <c:auto val="1"/>
        <c:lblAlgn val="ctr"/>
        <c:lblOffset val="100"/>
        <c:noMultiLvlLbl val="0"/>
      </c:catAx>
      <c:valAx>
        <c:axId val="140763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400"/>
                </a:pPr>
                <a:r>
                  <a:rPr lang="en-US" sz="1000" b="1" i="0" baseline="0">
                    <a:effectLst/>
                  </a:rPr>
                  <a:t>Abs. @ </a:t>
                </a:r>
                <a:r>
                  <a:rPr lang="el-GR" sz="1000" b="1" i="0" baseline="0">
                    <a:effectLst/>
                  </a:rPr>
                  <a:t>λ</a:t>
                </a:r>
                <a:r>
                  <a:rPr lang="nb-NO" sz="1000" b="1" i="0" baseline="0">
                    <a:effectLst/>
                  </a:rPr>
                  <a:t>254</a:t>
                </a:r>
                <a:r>
                  <a:rPr lang="en-US" sz="1000" b="1" i="0" baseline="0">
                    <a:effectLst/>
                  </a:rPr>
                  <a:t>nm</a:t>
                </a:r>
                <a:endParaRPr lang="nb-NO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056910002846936E-2"/>
              <c:y val="0.20729658792650918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14076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1748282962088373E-2"/>
                  <c:y val="0.38582494896471276"/>
                </c:manualLayout>
              </c:layout>
              <c:numFmt formatCode="General" sourceLinked="0"/>
            </c:trendlineLbl>
          </c:trendline>
          <c:xVal>
            <c:numRef>
              <c:f>'2015 Data'!$BA$4:$BA$14</c:f>
              <c:numCache>
                <c:formatCode>0.0</c:formatCode>
                <c:ptCount val="11"/>
                <c:pt idx="0">
                  <c:v>3.4001028395335209</c:v>
                </c:pt>
                <c:pt idx="1">
                  <c:v>2.3286925372691916</c:v>
                </c:pt>
                <c:pt idx="2">
                  <c:v>2.5348300440324674</c:v>
                </c:pt>
                <c:pt idx="3">
                  <c:v>0.80636447351657159</c:v>
                </c:pt>
                <c:pt idx="4">
                  <c:v>7.2860873576819589</c:v>
                </c:pt>
                <c:pt idx="5">
                  <c:v>9.0758243529633358</c:v>
                </c:pt>
                <c:pt idx="6">
                  <c:v>26.028999637903688</c:v>
                </c:pt>
                <c:pt idx="7">
                  <c:v>61.982730408513916</c:v>
                </c:pt>
                <c:pt idx="8">
                  <c:v>109.81236757878384</c:v>
                </c:pt>
                <c:pt idx="9">
                  <c:v>4.4001622629960915</c:v>
                </c:pt>
                <c:pt idx="10">
                  <c:v>2.3302985056023502</c:v>
                </c:pt>
              </c:numCache>
            </c:numRef>
          </c:xVal>
          <c:yVal>
            <c:numRef>
              <c:f>'2015 Data'!$BC$4:$BC$14</c:f>
              <c:numCache>
                <c:formatCode>0.00</c:formatCode>
                <c:ptCount val="11"/>
                <c:pt idx="0">
                  <c:v>2.7744544499303436</c:v>
                </c:pt>
                <c:pt idx="1">
                  <c:v>4.596498442565168</c:v>
                </c:pt>
                <c:pt idx="2">
                  <c:v>5.5355084240690502</c:v>
                </c:pt>
                <c:pt idx="3">
                  <c:v>2.9911763678001702</c:v>
                </c:pt>
                <c:pt idx="4" formatCode="0.0">
                  <c:v>4.7324276291873151</c:v>
                </c:pt>
                <c:pt idx="5">
                  <c:v>5.5804972107602033</c:v>
                </c:pt>
                <c:pt idx="6">
                  <c:v>6.639108185837304</c:v>
                </c:pt>
                <c:pt idx="7">
                  <c:v>5.7942870539914475</c:v>
                </c:pt>
                <c:pt idx="8">
                  <c:v>11.927606761720719</c:v>
                </c:pt>
                <c:pt idx="9">
                  <c:v>5.195892222335261</c:v>
                </c:pt>
                <c:pt idx="10">
                  <c:v>3.1553663197047332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27744"/>
        <c:axId val="140929664"/>
      </c:scatterChart>
      <c:valAx>
        <c:axId val="1409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NO3(µeq/L)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0929664"/>
        <c:crosses val="autoZero"/>
        <c:crossBetween val="midCat"/>
      </c:valAx>
      <c:valAx>
        <c:axId val="140929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Tot-F (µeq/L)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0927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76284447605636541"/>
          <c:h val="0.817943152802788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'2015 Data'!$AV$2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Data'!$AV$19:$AV$50</c:f>
              <c:numCache>
                <c:formatCode>0</c:formatCode>
                <c:ptCount val="32"/>
                <c:pt idx="0">
                  <c:v>275.81216627576225</c:v>
                </c:pt>
                <c:pt idx="3">
                  <c:v>1193.6723389390688</c:v>
                </c:pt>
                <c:pt idx="6">
                  <c:v>1045.8106691950695</c:v>
                </c:pt>
                <c:pt idx="9">
                  <c:v>1133.9887219921152</c:v>
                </c:pt>
                <c:pt idx="12">
                  <c:v>107.49039373222216</c:v>
                </c:pt>
                <c:pt idx="15">
                  <c:v>204.55112530565398</c:v>
                </c:pt>
                <c:pt idx="18">
                  <c:v>1206.0981086880581</c:v>
                </c:pt>
                <c:pt idx="21">
                  <c:v>813.81306452417778</c:v>
                </c:pt>
                <c:pt idx="24" formatCode="0.0">
                  <c:v>827.28679075802177</c:v>
                </c:pt>
                <c:pt idx="27">
                  <c:v>185.93742202704723</c:v>
                </c:pt>
                <c:pt idx="30">
                  <c:v>153.15135485802682</c:v>
                </c:pt>
              </c:numCache>
            </c:numRef>
          </c:val>
        </c:ser>
        <c:ser>
          <c:idx val="3"/>
          <c:order val="1"/>
          <c:tx>
            <c:strRef>
              <c:f>'2015 Data'!$AW$2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Data'!$AW$19:$AW$50</c:f>
              <c:numCache>
                <c:formatCode>0.0</c:formatCode>
                <c:ptCount val="32"/>
                <c:pt idx="0">
                  <c:v>92.300098716683124</c:v>
                </c:pt>
                <c:pt idx="3">
                  <c:v>182.13228035538003</c:v>
                </c:pt>
                <c:pt idx="6">
                  <c:v>238.9766370516617</c:v>
                </c:pt>
                <c:pt idx="9" formatCode="0">
                  <c:v>287.5123395853899</c:v>
                </c:pt>
                <c:pt idx="12" formatCode="0">
                  <c:v>43.279039157617639</c:v>
                </c:pt>
                <c:pt idx="15" formatCode="0">
                  <c:v>65.391576176373817</c:v>
                </c:pt>
                <c:pt idx="18" formatCode="0">
                  <c:v>319.84205330700888</c:v>
                </c:pt>
                <c:pt idx="21">
                  <c:v>217.58802237578152</c:v>
                </c:pt>
                <c:pt idx="24">
                  <c:v>261.92826587693321</c:v>
                </c:pt>
                <c:pt idx="27" formatCode="0">
                  <c:v>69.151036525172756</c:v>
                </c:pt>
                <c:pt idx="30">
                  <c:v>54.647910496873969</c:v>
                </c:pt>
              </c:numCache>
            </c:numRef>
          </c:val>
        </c:ser>
        <c:ser>
          <c:idx val="4"/>
          <c:order val="2"/>
          <c:tx>
            <c:strRef>
              <c:f>'2015 Data'!$AX$2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Data'!$AX$19:$AX$50</c:f>
              <c:numCache>
                <c:formatCode>0.00</c:formatCode>
                <c:ptCount val="32"/>
                <c:pt idx="0" formatCode="0.0">
                  <c:v>80.991735537190095</c:v>
                </c:pt>
                <c:pt idx="3" formatCode="0.0">
                  <c:v>61.983471074380176</c:v>
                </c:pt>
                <c:pt idx="6" formatCode="0">
                  <c:v>860.46107003044801</c:v>
                </c:pt>
                <c:pt idx="9" formatCode="0">
                  <c:v>422.00956937799043</c:v>
                </c:pt>
                <c:pt idx="12" formatCode="0">
                  <c:v>64.071335363201413</c:v>
                </c:pt>
                <c:pt idx="15" formatCode="0">
                  <c:v>128.01217920835148</c:v>
                </c:pt>
                <c:pt idx="18" formatCode="0">
                  <c:v>391.43105698129625</c:v>
                </c:pt>
                <c:pt idx="21" formatCode="0">
                  <c:v>564.46280991735546</c:v>
                </c:pt>
                <c:pt idx="24">
                  <c:v>457.80774249673777</c:v>
                </c:pt>
                <c:pt idx="27" formatCode="0">
                  <c:v>192.30100043497174</c:v>
                </c:pt>
                <c:pt idx="30" formatCode="0.0">
                  <c:v>80.382775119617236</c:v>
                </c:pt>
              </c:numCache>
            </c:numRef>
          </c:val>
        </c:ser>
        <c:ser>
          <c:idx val="5"/>
          <c:order val="3"/>
          <c:tx>
            <c:strRef>
              <c:f>'2015 Data'!$AY$2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Data'!$AY$19:$AY$50</c:f>
              <c:numCache>
                <c:formatCode>0.00</c:formatCode>
                <c:ptCount val="32"/>
                <c:pt idx="0">
                  <c:v>13.249961638790856</c:v>
                </c:pt>
                <c:pt idx="3">
                  <c:v>55.958774487238507</c:v>
                </c:pt>
                <c:pt idx="6">
                  <c:v>76.870748299319729</c:v>
                </c:pt>
                <c:pt idx="9" formatCode="0.0">
                  <c:v>43.757352565086194</c:v>
                </c:pt>
                <c:pt idx="12" formatCode="0.0">
                  <c:v>10.631169761137539</c:v>
                </c:pt>
                <c:pt idx="15" formatCode="0.0">
                  <c:v>15.045266226791471</c:v>
                </c:pt>
                <c:pt idx="18" formatCode="0.0">
                  <c:v>69.51051097130582</c:v>
                </c:pt>
                <c:pt idx="21">
                  <c:v>60.585136310163172</c:v>
                </c:pt>
                <c:pt idx="24">
                  <c:v>84.241215283105731</c:v>
                </c:pt>
                <c:pt idx="27" formatCode="0.0">
                  <c:v>19.794383918981129</c:v>
                </c:pt>
                <c:pt idx="30">
                  <c:v>10.482839752442331</c:v>
                </c:pt>
              </c:numCache>
            </c:numRef>
          </c:val>
        </c:ser>
        <c:ser>
          <c:idx val="1"/>
          <c:order val="4"/>
          <c:tx>
            <c:strRef>
              <c:f>'2015 Data'!$AU$2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Data'!$AU$19:$AU$50</c:f>
              <c:numCache>
                <c:formatCode>0.00</c:formatCode>
                <c:ptCount val="32"/>
                <c:pt idx="0">
                  <c:v>3.4673685045253172E-2</c:v>
                </c:pt>
                <c:pt idx="3">
                  <c:v>1.5135612484362029E-2</c:v>
                </c:pt>
                <c:pt idx="6">
                  <c:v>4.1686938347033513E-2</c:v>
                </c:pt>
                <c:pt idx="9">
                  <c:v>1.4791083881682026E-2</c:v>
                </c:pt>
                <c:pt idx="12">
                  <c:v>0.15488166189124805</c:v>
                </c:pt>
                <c:pt idx="15">
                  <c:v>9.5499258602143561E-2</c:v>
                </c:pt>
                <c:pt idx="18">
                  <c:v>4.3651583224016563E-2</c:v>
                </c:pt>
                <c:pt idx="21">
                  <c:v>5.3703179637025193E-2</c:v>
                </c:pt>
                <c:pt idx="24">
                  <c:v>6.6069344800759433E-2</c:v>
                </c:pt>
                <c:pt idx="27">
                  <c:v>0.61659500186148142</c:v>
                </c:pt>
                <c:pt idx="30">
                  <c:v>2.7542287033381663</c:v>
                </c:pt>
              </c:numCache>
            </c:numRef>
          </c:val>
        </c:ser>
        <c:ser>
          <c:idx val="11"/>
          <c:order val="5"/>
          <c:tx>
            <c:strRef>
              <c:f>'2015 Data'!$BE$2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Data'!$BE$19:$BE$50</c:f>
              <c:numCache>
                <c:formatCode>0</c:formatCode>
                <c:ptCount val="32"/>
                <c:pt idx="1">
                  <c:v>234.32400067016667</c:v>
                </c:pt>
                <c:pt idx="4">
                  <c:v>1605.214945241351</c:v>
                </c:pt>
                <c:pt idx="7">
                  <c:v>1117.1355220883343</c:v>
                </c:pt>
                <c:pt idx="10">
                  <c:v>1731.9310674715919</c:v>
                </c:pt>
                <c:pt idx="13">
                  <c:v>72.039392442099611</c:v>
                </c:pt>
                <c:pt idx="16">
                  <c:v>198.50124965674564</c:v>
                </c:pt>
                <c:pt idx="19">
                  <c:v>1597.5554206731201</c:v>
                </c:pt>
                <c:pt idx="22">
                  <c:v>762.13104088384182</c:v>
                </c:pt>
                <c:pt idx="25">
                  <c:v>951.43939102091826</c:v>
                </c:pt>
                <c:pt idx="28">
                  <c:v>178.53917676191134</c:v>
                </c:pt>
                <c:pt idx="31">
                  <c:v>79.689872067314028</c:v>
                </c:pt>
              </c:numCache>
            </c:numRef>
          </c:val>
        </c:ser>
        <c:ser>
          <c:idx val="6"/>
          <c:order val="6"/>
          <c:tx>
            <c:strRef>
              <c:f>'2015 Data'!$AZ$2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Data'!$AZ$19:$AZ$50</c:f>
              <c:numCache>
                <c:formatCode>0.0</c:formatCode>
                <c:ptCount val="32"/>
                <c:pt idx="1">
                  <c:v>157.31457183503733</c:v>
                </c:pt>
                <c:pt idx="4" formatCode="0">
                  <c:v>131.62099589917275</c:v>
                </c:pt>
                <c:pt idx="7">
                  <c:v>406.78405897163742</c:v>
                </c:pt>
                <c:pt idx="10" formatCode="0">
                  <c:v>152.86881727175142</c:v>
                </c:pt>
                <c:pt idx="13" formatCode="0">
                  <c:v>36.48013458885567</c:v>
                </c:pt>
                <c:pt idx="16" formatCode="0">
                  <c:v>70.088521593686067</c:v>
                </c:pt>
                <c:pt idx="19" formatCode="0">
                  <c:v>216.62097908431423</c:v>
                </c:pt>
                <c:pt idx="22">
                  <c:v>330.52531380932891</c:v>
                </c:pt>
                <c:pt idx="25">
                  <c:v>248.57582620458192</c:v>
                </c:pt>
                <c:pt idx="28" formatCode="0">
                  <c:v>59.436735615443951</c:v>
                </c:pt>
                <c:pt idx="31" formatCode="0">
                  <c:v>55.773810588538126</c:v>
                </c:pt>
              </c:numCache>
            </c:numRef>
          </c:val>
        </c:ser>
        <c:ser>
          <c:idx val="7"/>
          <c:order val="7"/>
          <c:tx>
            <c:strRef>
              <c:f>'2015 Data'!$BA$2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Data'!$BA$19:$BA$50</c:f>
              <c:numCache>
                <c:formatCode>0.0</c:formatCode>
                <c:ptCount val="32"/>
                <c:pt idx="1">
                  <c:v>3.4001028395335209</c:v>
                </c:pt>
                <c:pt idx="4">
                  <c:v>2.3286925372691916</c:v>
                </c:pt>
                <c:pt idx="7">
                  <c:v>2.5348300440324674</c:v>
                </c:pt>
                <c:pt idx="10">
                  <c:v>0.80636447351657159</c:v>
                </c:pt>
                <c:pt idx="13">
                  <c:v>7.2860873576819589</c:v>
                </c:pt>
                <c:pt idx="16">
                  <c:v>9.0758243529633358</c:v>
                </c:pt>
                <c:pt idx="19">
                  <c:v>26.028999637903688</c:v>
                </c:pt>
                <c:pt idx="22">
                  <c:v>61.982730408513916</c:v>
                </c:pt>
                <c:pt idx="25">
                  <c:v>109.81236757878384</c:v>
                </c:pt>
                <c:pt idx="28">
                  <c:v>4.4001622629960915</c:v>
                </c:pt>
                <c:pt idx="31">
                  <c:v>2.3302985056023502</c:v>
                </c:pt>
              </c:numCache>
            </c:numRef>
          </c:val>
        </c:ser>
        <c:ser>
          <c:idx val="8"/>
          <c:order val="8"/>
          <c:tx>
            <c:strRef>
              <c:f>'2015 Data'!$BB$2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Data'!$BB$19:$BB$50</c:f>
              <c:numCache>
                <c:formatCode>0.0</c:formatCode>
                <c:ptCount val="32"/>
                <c:pt idx="1">
                  <c:v>69.382641796524268</c:v>
                </c:pt>
                <c:pt idx="4">
                  <c:v>17.645788167612437</c:v>
                </c:pt>
                <c:pt idx="7" formatCode="0">
                  <c:v>983.98646201666702</c:v>
                </c:pt>
                <c:pt idx="10" formatCode="0">
                  <c:v>336.93750469142407</c:v>
                </c:pt>
                <c:pt idx="13" formatCode="0">
                  <c:v>48.675016258210107</c:v>
                </c:pt>
                <c:pt idx="16" formatCode="0">
                  <c:v>123.48485939560162</c:v>
                </c:pt>
                <c:pt idx="19" formatCode="0">
                  <c:v>429.55169537215397</c:v>
                </c:pt>
                <c:pt idx="22" formatCode="0">
                  <c:v>669.51847957621862</c:v>
                </c:pt>
                <c:pt idx="25">
                  <c:v>611.53898799240415</c:v>
                </c:pt>
                <c:pt idx="28" formatCode="0">
                  <c:v>178.11220590938063</c:v>
                </c:pt>
                <c:pt idx="31">
                  <c:v>66.784560978286862</c:v>
                </c:pt>
              </c:numCache>
            </c:numRef>
          </c:val>
        </c:ser>
        <c:ser>
          <c:idx val="9"/>
          <c:order val="9"/>
          <c:tx>
            <c:strRef>
              <c:f>'2015 Data'!$BC$2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Data'!$BC$19:$BC$47</c:f>
              <c:numCache>
                <c:formatCode>0.0</c:formatCode>
                <c:ptCount val="29"/>
                <c:pt idx="1">
                  <c:v>2.7744544499303436</c:v>
                </c:pt>
                <c:pt idx="4">
                  <c:v>4.596498442565168</c:v>
                </c:pt>
                <c:pt idx="7">
                  <c:v>5.5355084240690502</c:v>
                </c:pt>
                <c:pt idx="10">
                  <c:v>2.9911763678001702</c:v>
                </c:pt>
                <c:pt idx="13">
                  <c:v>4.7324276291873151</c:v>
                </c:pt>
                <c:pt idx="16">
                  <c:v>5.5804972107602033</c:v>
                </c:pt>
                <c:pt idx="19">
                  <c:v>6.639108185837304</c:v>
                </c:pt>
                <c:pt idx="22">
                  <c:v>5.7942870539914475</c:v>
                </c:pt>
                <c:pt idx="25">
                  <c:v>11.927606761720719</c:v>
                </c:pt>
                <c:pt idx="28">
                  <c:v>5.195892222335261</c:v>
                </c:pt>
              </c:numCache>
            </c:numRef>
          </c:val>
        </c:ser>
        <c:ser>
          <c:idx val="10"/>
          <c:order val="10"/>
          <c:tx>
            <c:strRef>
              <c:f>'2015 Data'!$BD$2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Data'!$BD$19:$BD$47</c:f>
              <c:numCache>
                <c:formatCode>0.0</c:formatCode>
                <c:ptCount val="29"/>
                <c:pt idx="1">
                  <c:v>0.96867936712948011</c:v>
                </c:pt>
                <c:pt idx="4">
                  <c:v>0.58120762027768813</c:v>
                </c:pt>
                <c:pt idx="7">
                  <c:v>0.38747174685179209</c:v>
                </c:pt>
                <c:pt idx="10">
                  <c:v>0.29060381013884407</c:v>
                </c:pt>
                <c:pt idx="13">
                  <c:v>0.19373587342589604</c:v>
                </c:pt>
                <c:pt idx="16">
                  <c:v>0.19373587342589604</c:v>
                </c:pt>
                <c:pt idx="19">
                  <c:v>6.1995479496286734</c:v>
                </c:pt>
                <c:pt idx="22">
                  <c:v>0.58120762027768813</c:v>
                </c:pt>
                <c:pt idx="25">
                  <c:v>3.4872457216661288</c:v>
                </c:pt>
                <c:pt idx="28">
                  <c:v>0.58120762027768813</c:v>
                </c:pt>
              </c:numCache>
            </c:numRef>
          </c:val>
        </c:ser>
        <c:ser>
          <c:idx val="0"/>
          <c:order val="11"/>
          <c:tx>
            <c:strRef>
              <c:f>'2015 Data'!$AQ$2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Data'!$BF$19:$BF$50</c:f>
              <c:numCache>
                <c:formatCode>0.0</c:formatCode>
                <c:ptCount val="32"/>
                <c:pt idx="1">
                  <c:v>12.136324024003823</c:v>
                </c:pt>
                <c:pt idx="4">
                  <c:v>9.3469600822962811</c:v>
                </c:pt>
                <c:pt idx="7">
                  <c:v>33.580299560193197</c:v>
                </c:pt>
                <c:pt idx="10">
                  <c:v>48.379461591114882</c:v>
                </c:pt>
                <c:pt idx="13">
                  <c:v>29.221939699359126</c:v>
                </c:pt>
                <c:pt idx="16">
                  <c:v>30.216400706392562</c:v>
                </c:pt>
                <c:pt idx="19">
                  <c:v>32.361767447256355</c:v>
                </c:pt>
                <c:pt idx="22">
                  <c:v>48.72688830343531</c:v>
                </c:pt>
                <c:pt idx="25">
                  <c:v>51.050132167962396</c:v>
                </c:pt>
                <c:pt idx="28">
                  <c:v>68.312993717803991</c:v>
                </c:pt>
                <c:pt idx="31">
                  <c:v>89.062445574212532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4547328"/>
        <c:axId val="134548864"/>
      </c:barChart>
      <c:catAx>
        <c:axId val="13454732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34548864"/>
        <c:crosses val="autoZero"/>
        <c:auto val="1"/>
        <c:lblAlgn val="ctr"/>
        <c:lblOffset val="100"/>
        <c:noMultiLvlLbl val="0"/>
      </c:catAx>
      <c:valAx>
        <c:axId val="134548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34547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24079303942739"/>
          <c:y val="8.3069494090950616E-2"/>
          <c:w val="9.5759236179133428E-2"/>
          <c:h val="0.66019367903211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'2015 Data'!$AL$2</c:f>
              <c:strCache>
                <c:ptCount val="1"/>
                <c:pt idx="0">
                  <c:v>Free PO4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Data'!$AL$4:$AL$14</c:f>
              <c:numCache>
                <c:formatCode>General</c:formatCode>
                <c:ptCount val="11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64</c:v>
                </c:pt>
                <c:pt idx="7">
                  <c:v>6</c:v>
                </c:pt>
                <c:pt idx="8">
                  <c:v>36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strRef>
              <c:f>'2015 Data'!$AO$2</c:f>
              <c:strCache>
                <c:ptCount val="1"/>
                <c:pt idx="0">
                  <c:v>DOP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Data'!$AO$4:$AO$14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3</c:v>
                </c:pt>
                <c:pt idx="7">
                  <c:v>10</c:v>
                </c:pt>
                <c:pt idx="8">
                  <c:v>32</c:v>
                </c:pt>
                <c:pt idx="9">
                  <c:v>17</c:v>
                </c:pt>
                <c:pt idx="10">
                  <c:v>7</c:v>
                </c:pt>
              </c:numCache>
            </c:numRef>
          </c:val>
        </c:ser>
        <c:ser>
          <c:idx val="2"/>
          <c:order val="2"/>
          <c:tx>
            <c:strRef>
              <c:f>'2015 Data'!$AN$2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'2015 Data'!$AN$4:$AN$14</c:f>
              <c:numCache>
                <c:formatCode>0.0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21</c:v>
                </c:pt>
                <c:pt idx="3">
                  <c:v>13</c:v>
                </c:pt>
                <c:pt idx="4">
                  <c:v>3</c:v>
                </c:pt>
                <c:pt idx="5">
                  <c:v>8</c:v>
                </c:pt>
                <c:pt idx="6">
                  <c:v>131</c:v>
                </c:pt>
                <c:pt idx="7">
                  <c:v>6</c:v>
                </c:pt>
                <c:pt idx="8">
                  <c:v>18</c:v>
                </c:pt>
                <c:pt idx="9">
                  <c:v>10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56032"/>
        <c:axId val="140957568"/>
      </c:barChart>
      <c:catAx>
        <c:axId val="14095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957568"/>
        <c:crosses val="autoZero"/>
        <c:auto val="1"/>
        <c:lblAlgn val="ctr"/>
        <c:lblOffset val="100"/>
        <c:noMultiLvlLbl val="0"/>
      </c:catAx>
      <c:valAx>
        <c:axId val="140957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ug P/L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4095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Free NO3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'2015 Data'!$AL$2</c:f>
              <c:strCache>
                <c:ptCount val="1"/>
                <c:pt idx="0">
                  <c:v>Free PO4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Data'!$AF$4:$AF$14</c:f>
              <c:numCache>
                <c:formatCode>_(* #,##0.00_);_(* \(#,##0.00\);_(* "-"??_);_(@_)</c:formatCode>
                <c:ptCount val="11"/>
                <c:pt idx="0">
                  <c:v>0.21082915674010316</c:v>
                </c:pt>
                <c:pt idx="1">
                  <c:v>0.14439453955068959</c:v>
                </c:pt>
                <c:pt idx="2">
                  <c:v>0.15717644609130801</c:v>
                </c:pt>
                <c:pt idx="3">
                  <c:v>0.05</c:v>
                </c:pt>
                <c:pt idx="4">
                  <c:v>0.45178623296157794</c:v>
                </c:pt>
                <c:pt idx="5">
                  <c:v>0.56276191790689167</c:v>
                </c:pt>
                <c:pt idx="6">
                  <c:v>1.6139723718476027</c:v>
                </c:pt>
                <c:pt idx="7">
                  <c:v>3.8433445696216002</c:v>
                </c:pt>
                <c:pt idx="8">
                  <c:v>6.8091025327473762</c:v>
                </c:pt>
                <c:pt idx="9">
                  <c:v>0.27283954139291977</c:v>
                </c:pt>
                <c:pt idx="10">
                  <c:v>0.14449412034733325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90336"/>
        <c:axId val="140991872"/>
      </c:barChart>
      <c:catAx>
        <c:axId val="14099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991872"/>
        <c:crosses val="autoZero"/>
        <c:auto val="1"/>
        <c:lblAlgn val="ctr"/>
        <c:lblOffset val="100"/>
        <c:noMultiLvlLbl val="0"/>
      </c:catAx>
      <c:valAx>
        <c:axId val="140991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ug P/L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4099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8226821571920729"/>
                  <c:y val="-0.10233340624088656"/>
                </c:manualLayout>
              </c:layout>
              <c:numFmt formatCode="General" sourceLinked="0"/>
            </c:trendlineLbl>
          </c:trendline>
          <c:xVal>
            <c:numRef>
              <c:f>'2015 Data'!$CG$4:$CG$14</c:f>
              <c:numCache>
                <c:formatCode>0.0</c:formatCode>
                <c:ptCount val="11"/>
                <c:pt idx="0">
                  <c:v>4.93</c:v>
                </c:pt>
                <c:pt idx="1">
                  <c:v>16.419999999999998</c:v>
                </c:pt>
                <c:pt idx="2">
                  <c:v>23.6</c:v>
                </c:pt>
                <c:pt idx="3">
                  <c:v>21.6</c:v>
                </c:pt>
                <c:pt idx="4">
                  <c:v>2.2399999999999998</c:v>
                </c:pt>
                <c:pt idx="5">
                  <c:v>4.5200000000000005</c:v>
                </c:pt>
                <c:pt idx="6">
                  <c:v>22.8</c:v>
                </c:pt>
                <c:pt idx="7">
                  <c:v>20</c:v>
                </c:pt>
                <c:pt idx="8">
                  <c:v>20.7</c:v>
                </c:pt>
                <c:pt idx="9">
                  <c:v>5.1899999999999995</c:v>
                </c:pt>
                <c:pt idx="10">
                  <c:v>3.15</c:v>
                </c:pt>
              </c:numCache>
            </c:numRef>
          </c:xVal>
          <c:yVal>
            <c:numRef>
              <c:f>'2015 Data'!$CF$4:$CF$14</c:f>
              <c:numCache>
                <c:formatCode>0.0</c:formatCode>
                <c:ptCount val="11"/>
                <c:pt idx="0">
                  <c:v>4.1397451271696681</c:v>
                </c:pt>
                <c:pt idx="1">
                  <c:v>8.8141437035881989</c:v>
                </c:pt>
                <c:pt idx="2">
                  <c:v>20.595877514764847</c:v>
                </c:pt>
                <c:pt idx="3">
                  <c:v>12.887469089272683</c:v>
                </c:pt>
                <c:pt idx="4">
                  <c:v>1.9092468473650452</c:v>
                </c:pt>
                <c:pt idx="5">
                  <c:v>3.681718478602904</c:v>
                </c:pt>
                <c:pt idx="6">
                  <c:v>14.620915157988817</c:v>
                </c:pt>
                <c:pt idx="7">
                  <c:v>15.716206627821686</c:v>
                </c:pt>
                <c:pt idx="8">
                  <c:v>15.020736654840103</c:v>
                </c:pt>
                <c:pt idx="9">
                  <c:v>4.248282790394418</c:v>
                </c:pt>
                <c:pt idx="10">
                  <c:v>2.6209698527271104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25664"/>
        <c:axId val="141027584"/>
      </c:scatterChart>
      <c:valAx>
        <c:axId val="1410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Measured mS/cm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027584"/>
        <c:crosses val="autoZero"/>
        <c:crossBetween val="midCat"/>
      </c:valAx>
      <c:valAx>
        <c:axId val="141027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Calculated ms/cm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025664"/>
        <c:crosses val="autoZero"/>
        <c:crossBetween val="midCat"/>
      </c:valAx>
      <c:spPr>
        <a:ln>
          <a:solidFill>
            <a:schemeClr val="lt1">
              <a:shade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IB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939129483814522"/>
          <c:y val="0.12084499854184894"/>
          <c:w val="0.80188648293963249"/>
          <c:h val="0.827279819189267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'2015 Data'!$BE$4:$BE$14</c:f>
              <c:numCache>
                <c:formatCode>0</c:formatCode>
                <c:ptCount val="11"/>
                <c:pt idx="0">
                  <c:v>234.32400067016667</c:v>
                </c:pt>
                <c:pt idx="1">
                  <c:v>1605.214945241351</c:v>
                </c:pt>
                <c:pt idx="2">
                  <c:v>1117.1355220883343</c:v>
                </c:pt>
                <c:pt idx="3">
                  <c:v>1731.9310674715919</c:v>
                </c:pt>
                <c:pt idx="4">
                  <c:v>72.039392442099611</c:v>
                </c:pt>
                <c:pt idx="5">
                  <c:v>198.50124965674564</c:v>
                </c:pt>
                <c:pt idx="6">
                  <c:v>1597.5554206731201</c:v>
                </c:pt>
                <c:pt idx="7">
                  <c:v>762.13104088384182</c:v>
                </c:pt>
                <c:pt idx="8">
                  <c:v>951.43939102091826</c:v>
                </c:pt>
                <c:pt idx="9">
                  <c:v>178.53917676191134</c:v>
                </c:pt>
                <c:pt idx="10">
                  <c:v>79.689872067314028</c:v>
                </c:pt>
              </c:numCache>
            </c:numRef>
          </c:xVal>
          <c:yVal>
            <c:numRef>
              <c:f>'2015 Data'!$BI$4:$BI$14</c:f>
              <c:numCache>
                <c:formatCode>0</c:formatCode>
                <c:ptCount val="11"/>
                <c:pt idx="0">
                  <c:v>-1.9001103569173183</c:v>
                </c:pt>
                <c:pt idx="1">
                  <c:v>-8.5012200250678749</c:v>
                </c:pt>
                <c:pt idx="2">
                  <c:v>-6.8687370412952227</c:v>
                </c:pt>
                <c:pt idx="3">
                  <c:v>-9.2976897309654518</c:v>
                </c:pt>
                <c:pt idx="4">
                  <c:v>6.3636375771487526</c:v>
                </c:pt>
                <c:pt idx="5">
                  <c:v>-2.8280879459745387</c:v>
                </c:pt>
                <c:pt idx="6">
                  <c:v>-7.6253153433903789</c:v>
                </c:pt>
                <c:pt idx="7">
                  <c:v>-6.3001177188406796</c:v>
                </c:pt>
                <c:pt idx="8">
                  <c:v>-9.8503882675293006</c:v>
                </c:pt>
                <c:pt idx="9">
                  <c:v>-2.7824735818901871</c:v>
                </c:pt>
                <c:pt idx="10">
                  <c:v>0.72382743083140433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60352"/>
        <c:axId val="141083008"/>
      </c:scatterChart>
      <c:valAx>
        <c:axId val="14106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 corr. HCO3- (µeq/L)</a:t>
                </a:r>
              </a:p>
            </c:rich>
          </c:tx>
          <c:layout>
            <c:manualLayout>
              <c:xMode val="edge"/>
              <c:yMode val="edge"/>
              <c:x val="0.66770953630796148"/>
              <c:y val="0.3555322251385243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41083008"/>
        <c:crosses val="autoZero"/>
        <c:crossBetween val="midCat"/>
      </c:valAx>
      <c:valAx>
        <c:axId val="141083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IB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1060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3867454068241472E-2"/>
                  <c:y val="-0.33858413531641879"/>
                </c:manualLayout>
              </c:layout>
              <c:numFmt formatCode="General" sourceLinked="0"/>
            </c:trendlineLbl>
          </c:trendline>
          <c:xVal>
            <c:numRef>
              <c:f>'2015 Data'!$Q$4:$Q$14</c:f>
              <c:numCache>
                <c:formatCode>0.00</c:formatCode>
                <c:ptCount val="11"/>
                <c:pt idx="0">
                  <c:v>2.2309999999999999</c:v>
                </c:pt>
                <c:pt idx="1">
                  <c:v>1.71</c:v>
                </c:pt>
                <c:pt idx="2">
                  <c:v>6.1820000000000004</c:v>
                </c:pt>
                <c:pt idx="3">
                  <c:v>8.85</c:v>
                </c:pt>
                <c:pt idx="4">
                  <c:v>5.47</c:v>
                </c:pt>
                <c:pt idx="5">
                  <c:v>5.6130000000000004</c:v>
                </c:pt>
                <c:pt idx="6">
                  <c:v>5.96</c:v>
                </c:pt>
                <c:pt idx="7">
                  <c:v>8.9909999999999997</c:v>
                </c:pt>
                <c:pt idx="8">
                  <c:v>9.44</c:v>
                </c:pt>
                <c:pt idx="9">
                  <c:v>13.27</c:v>
                </c:pt>
                <c:pt idx="10">
                  <c:v>18.75</c:v>
                </c:pt>
              </c:numCache>
            </c:numRef>
          </c:xVal>
          <c:yVal>
            <c:numRef>
              <c:f>'2015 Data'!$J$4:$J$14</c:f>
              <c:numCache>
                <c:formatCode>General</c:formatCode>
                <c:ptCount val="11"/>
                <c:pt idx="0">
                  <c:v>7.46</c:v>
                </c:pt>
                <c:pt idx="1">
                  <c:v>7.82</c:v>
                </c:pt>
                <c:pt idx="2">
                  <c:v>7.38</c:v>
                </c:pt>
                <c:pt idx="3">
                  <c:v>7.83</c:v>
                </c:pt>
                <c:pt idx="4">
                  <c:v>6.81</c:v>
                </c:pt>
                <c:pt idx="5">
                  <c:v>7.02</c:v>
                </c:pt>
                <c:pt idx="6">
                  <c:v>7.36</c:v>
                </c:pt>
                <c:pt idx="7">
                  <c:v>7.27</c:v>
                </c:pt>
                <c:pt idx="8">
                  <c:v>7.18</c:v>
                </c:pt>
                <c:pt idx="9">
                  <c:v>6.21</c:v>
                </c:pt>
                <c:pt idx="10">
                  <c:v>5.56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96448"/>
        <c:axId val="141098368"/>
      </c:scatterChart>
      <c:valAx>
        <c:axId val="1410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DOC mg C/L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1098368"/>
        <c:crosses val="autoZero"/>
        <c:crossBetween val="midCat"/>
      </c:valAx>
      <c:valAx>
        <c:axId val="141098368"/>
        <c:scaling>
          <c:orientation val="minMax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09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76284447605636541"/>
          <c:h val="0.817943152802788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'2015 Data'!$AV$2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Data'!$AV$19:$AV$50</c:f>
              <c:numCache>
                <c:formatCode>0</c:formatCode>
                <c:ptCount val="32"/>
                <c:pt idx="0">
                  <c:v>275.81216627576225</c:v>
                </c:pt>
                <c:pt idx="3">
                  <c:v>1193.6723389390688</c:v>
                </c:pt>
                <c:pt idx="6">
                  <c:v>1045.8106691950695</c:v>
                </c:pt>
                <c:pt idx="9">
                  <c:v>1133.9887219921152</c:v>
                </c:pt>
                <c:pt idx="12">
                  <c:v>107.49039373222216</c:v>
                </c:pt>
                <c:pt idx="15">
                  <c:v>204.55112530565398</c:v>
                </c:pt>
                <c:pt idx="18">
                  <c:v>1206.0981086880581</c:v>
                </c:pt>
                <c:pt idx="21">
                  <c:v>813.81306452417778</c:v>
                </c:pt>
                <c:pt idx="24" formatCode="0.0">
                  <c:v>827.28679075802177</c:v>
                </c:pt>
                <c:pt idx="27">
                  <c:v>185.93742202704723</c:v>
                </c:pt>
                <c:pt idx="30">
                  <c:v>153.15135485802682</c:v>
                </c:pt>
              </c:numCache>
            </c:numRef>
          </c:val>
        </c:ser>
        <c:ser>
          <c:idx val="3"/>
          <c:order val="1"/>
          <c:tx>
            <c:strRef>
              <c:f>'2015 Data'!$AW$2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Data'!$AW$19:$AW$50</c:f>
              <c:numCache>
                <c:formatCode>0.0</c:formatCode>
                <c:ptCount val="32"/>
                <c:pt idx="0">
                  <c:v>92.300098716683124</c:v>
                </c:pt>
                <c:pt idx="3">
                  <c:v>182.13228035538003</c:v>
                </c:pt>
                <c:pt idx="6">
                  <c:v>238.9766370516617</c:v>
                </c:pt>
                <c:pt idx="9" formatCode="0">
                  <c:v>287.5123395853899</c:v>
                </c:pt>
                <c:pt idx="12" formatCode="0">
                  <c:v>43.279039157617639</c:v>
                </c:pt>
                <c:pt idx="15" formatCode="0">
                  <c:v>65.391576176373817</c:v>
                </c:pt>
                <c:pt idx="18" formatCode="0">
                  <c:v>319.84205330700888</c:v>
                </c:pt>
                <c:pt idx="21">
                  <c:v>217.58802237578152</c:v>
                </c:pt>
                <c:pt idx="24">
                  <c:v>261.92826587693321</c:v>
                </c:pt>
                <c:pt idx="27" formatCode="0">
                  <c:v>69.151036525172756</c:v>
                </c:pt>
                <c:pt idx="30">
                  <c:v>54.647910496873969</c:v>
                </c:pt>
              </c:numCache>
            </c:numRef>
          </c:val>
        </c:ser>
        <c:ser>
          <c:idx val="4"/>
          <c:order val="2"/>
          <c:tx>
            <c:strRef>
              <c:f>'2015 Data'!$AX$2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Data'!$AX$19:$AX$50</c:f>
              <c:numCache>
                <c:formatCode>0.00</c:formatCode>
                <c:ptCount val="32"/>
                <c:pt idx="0" formatCode="0.0">
                  <c:v>80.991735537190095</c:v>
                </c:pt>
                <c:pt idx="3" formatCode="0.0">
                  <c:v>61.983471074380176</c:v>
                </c:pt>
                <c:pt idx="6" formatCode="0">
                  <c:v>860.46107003044801</c:v>
                </c:pt>
                <c:pt idx="9" formatCode="0">
                  <c:v>422.00956937799043</c:v>
                </c:pt>
                <c:pt idx="12" formatCode="0">
                  <c:v>64.071335363201413</c:v>
                </c:pt>
                <c:pt idx="15" formatCode="0">
                  <c:v>128.01217920835148</c:v>
                </c:pt>
                <c:pt idx="18" formatCode="0">
                  <c:v>391.43105698129625</c:v>
                </c:pt>
                <c:pt idx="21" formatCode="0">
                  <c:v>564.46280991735546</c:v>
                </c:pt>
                <c:pt idx="24">
                  <c:v>457.80774249673777</c:v>
                </c:pt>
                <c:pt idx="27" formatCode="0">
                  <c:v>192.30100043497174</c:v>
                </c:pt>
                <c:pt idx="30" formatCode="0.0">
                  <c:v>80.382775119617236</c:v>
                </c:pt>
              </c:numCache>
            </c:numRef>
          </c:val>
        </c:ser>
        <c:ser>
          <c:idx val="5"/>
          <c:order val="3"/>
          <c:tx>
            <c:strRef>
              <c:f>'2015 Data'!$AY$2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Data'!$AY$19:$AY$50</c:f>
              <c:numCache>
                <c:formatCode>0.00</c:formatCode>
                <c:ptCount val="32"/>
                <c:pt idx="0">
                  <c:v>13.249961638790856</c:v>
                </c:pt>
                <c:pt idx="3">
                  <c:v>55.958774487238507</c:v>
                </c:pt>
                <c:pt idx="6">
                  <c:v>76.870748299319729</c:v>
                </c:pt>
                <c:pt idx="9" formatCode="0.0">
                  <c:v>43.757352565086194</c:v>
                </c:pt>
                <c:pt idx="12" formatCode="0.0">
                  <c:v>10.631169761137539</c:v>
                </c:pt>
                <c:pt idx="15" formatCode="0.0">
                  <c:v>15.045266226791471</c:v>
                </c:pt>
                <c:pt idx="18" formatCode="0.0">
                  <c:v>69.51051097130582</c:v>
                </c:pt>
                <c:pt idx="21">
                  <c:v>60.585136310163172</c:v>
                </c:pt>
                <c:pt idx="24">
                  <c:v>84.241215283105731</c:v>
                </c:pt>
                <c:pt idx="27" formatCode="0.0">
                  <c:v>19.794383918981129</c:v>
                </c:pt>
                <c:pt idx="30">
                  <c:v>10.482839752442331</c:v>
                </c:pt>
              </c:numCache>
            </c:numRef>
          </c:val>
        </c:ser>
        <c:ser>
          <c:idx val="1"/>
          <c:order val="4"/>
          <c:tx>
            <c:strRef>
              <c:f>'2015 Data'!$AU$2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Data'!$AU$19:$AU$50</c:f>
              <c:numCache>
                <c:formatCode>0.00</c:formatCode>
                <c:ptCount val="32"/>
                <c:pt idx="0">
                  <c:v>3.4673685045253172E-2</c:v>
                </c:pt>
                <c:pt idx="3">
                  <c:v>1.5135612484362029E-2</c:v>
                </c:pt>
                <c:pt idx="6">
                  <c:v>4.1686938347033513E-2</c:v>
                </c:pt>
                <c:pt idx="9">
                  <c:v>1.4791083881682026E-2</c:v>
                </c:pt>
                <c:pt idx="12">
                  <c:v>0.15488166189124805</c:v>
                </c:pt>
                <c:pt idx="15">
                  <c:v>9.5499258602143561E-2</c:v>
                </c:pt>
                <c:pt idx="18">
                  <c:v>4.3651583224016563E-2</c:v>
                </c:pt>
                <c:pt idx="21">
                  <c:v>5.3703179637025193E-2</c:v>
                </c:pt>
                <c:pt idx="24">
                  <c:v>6.6069344800759433E-2</c:v>
                </c:pt>
                <c:pt idx="27">
                  <c:v>0.61659500186148142</c:v>
                </c:pt>
                <c:pt idx="30">
                  <c:v>2.7542287033381663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4873472"/>
        <c:axId val="134875008"/>
      </c:barChart>
      <c:catAx>
        <c:axId val="13487347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34875008"/>
        <c:crosses val="autoZero"/>
        <c:auto val="1"/>
        <c:lblAlgn val="ctr"/>
        <c:lblOffset val="100"/>
        <c:noMultiLvlLbl val="0"/>
      </c:catAx>
      <c:valAx>
        <c:axId val="134875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3487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24079303942739"/>
          <c:y val="8.3069494090950616E-2"/>
          <c:w val="9.5759236179133428E-2"/>
          <c:h val="0.66019367903211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76284447605636541"/>
          <c:h val="0.81794315280278862"/>
        </c:manualLayout>
      </c:layout>
      <c:barChart>
        <c:barDir val="col"/>
        <c:grouping val="percentStacked"/>
        <c:varyColors val="0"/>
        <c:ser>
          <c:idx val="11"/>
          <c:order val="0"/>
          <c:tx>
            <c:strRef>
              <c:f>'2015 Data'!$BE$2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Data'!$BE$19:$BE$50</c:f>
              <c:numCache>
                <c:formatCode>0</c:formatCode>
                <c:ptCount val="32"/>
                <c:pt idx="1">
                  <c:v>234.32400067016667</c:v>
                </c:pt>
                <c:pt idx="4">
                  <c:v>1605.214945241351</c:v>
                </c:pt>
                <c:pt idx="7">
                  <c:v>1117.1355220883343</c:v>
                </c:pt>
                <c:pt idx="10">
                  <c:v>1731.9310674715919</c:v>
                </c:pt>
                <c:pt idx="13">
                  <c:v>72.039392442099611</c:v>
                </c:pt>
                <c:pt idx="16">
                  <c:v>198.50124965674564</c:v>
                </c:pt>
                <c:pt idx="19">
                  <c:v>1597.5554206731201</c:v>
                </c:pt>
                <c:pt idx="22">
                  <c:v>762.13104088384182</c:v>
                </c:pt>
                <c:pt idx="25">
                  <c:v>951.43939102091826</c:v>
                </c:pt>
                <c:pt idx="28">
                  <c:v>178.53917676191134</c:v>
                </c:pt>
                <c:pt idx="31">
                  <c:v>79.689872067314028</c:v>
                </c:pt>
              </c:numCache>
            </c:numRef>
          </c:val>
        </c:ser>
        <c:ser>
          <c:idx val="6"/>
          <c:order val="1"/>
          <c:tx>
            <c:strRef>
              <c:f>'2015 Data'!$AZ$2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Data'!$AZ$19:$AZ$50</c:f>
              <c:numCache>
                <c:formatCode>0.0</c:formatCode>
                <c:ptCount val="32"/>
                <c:pt idx="1">
                  <c:v>157.31457183503733</c:v>
                </c:pt>
                <c:pt idx="4" formatCode="0">
                  <c:v>131.62099589917275</c:v>
                </c:pt>
                <c:pt idx="7">
                  <c:v>406.78405897163742</c:v>
                </c:pt>
                <c:pt idx="10" formatCode="0">
                  <c:v>152.86881727175142</c:v>
                </c:pt>
                <c:pt idx="13" formatCode="0">
                  <c:v>36.48013458885567</c:v>
                </c:pt>
                <c:pt idx="16" formatCode="0">
                  <c:v>70.088521593686067</c:v>
                </c:pt>
                <c:pt idx="19" formatCode="0">
                  <c:v>216.62097908431423</c:v>
                </c:pt>
                <c:pt idx="22">
                  <c:v>330.52531380932891</c:v>
                </c:pt>
                <c:pt idx="25">
                  <c:v>248.57582620458192</c:v>
                </c:pt>
                <c:pt idx="28" formatCode="0">
                  <c:v>59.436735615443951</c:v>
                </c:pt>
                <c:pt idx="31" formatCode="0">
                  <c:v>55.773810588538126</c:v>
                </c:pt>
              </c:numCache>
            </c:numRef>
          </c:val>
        </c:ser>
        <c:ser>
          <c:idx val="7"/>
          <c:order val="2"/>
          <c:tx>
            <c:strRef>
              <c:f>'2015 Data'!$BA$2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Data'!$BA$19:$BA$50</c:f>
              <c:numCache>
                <c:formatCode>0.0</c:formatCode>
                <c:ptCount val="32"/>
                <c:pt idx="1">
                  <c:v>3.4001028395335209</c:v>
                </c:pt>
                <c:pt idx="4">
                  <c:v>2.3286925372691916</c:v>
                </c:pt>
                <c:pt idx="7">
                  <c:v>2.5348300440324674</c:v>
                </c:pt>
                <c:pt idx="10">
                  <c:v>0.80636447351657159</c:v>
                </c:pt>
                <c:pt idx="13">
                  <c:v>7.2860873576819589</c:v>
                </c:pt>
                <c:pt idx="16">
                  <c:v>9.0758243529633358</c:v>
                </c:pt>
                <c:pt idx="19">
                  <c:v>26.028999637903688</c:v>
                </c:pt>
                <c:pt idx="22">
                  <c:v>61.982730408513916</c:v>
                </c:pt>
                <c:pt idx="25">
                  <c:v>109.81236757878384</c:v>
                </c:pt>
                <c:pt idx="28">
                  <c:v>4.4001622629960915</c:v>
                </c:pt>
                <c:pt idx="31">
                  <c:v>2.3302985056023502</c:v>
                </c:pt>
              </c:numCache>
            </c:numRef>
          </c:val>
        </c:ser>
        <c:ser>
          <c:idx val="8"/>
          <c:order val="3"/>
          <c:tx>
            <c:strRef>
              <c:f>'2015 Data'!$BB$2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Data'!$BB$19:$BB$50</c:f>
              <c:numCache>
                <c:formatCode>0.0</c:formatCode>
                <c:ptCount val="32"/>
                <c:pt idx="1">
                  <c:v>69.382641796524268</c:v>
                </c:pt>
                <c:pt idx="4">
                  <c:v>17.645788167612437</c:v>
                </c:pt>
                <c:pt idx="7" formatCode="0">
                  <c:v>983.98646201666702</c:v>
                </c:pt>
                <c:pt idx="10" formatCode="0">
                  <c:v>336.93750469142407</c:v>
                </c:pt>
                <c:pt idx="13" formatCode="0">
                  <c:v>48.675016258210107</c:v>
                </c:pt>
                <c:pt idx="16" formatCode="0">
                  <c:v>123.48485939560162</c:v>
                </c:pt>
                <c:pt idx="19" formatCode="0">
                  <c:v>429.55169537215397</c:v>
                </c:pt>
                <c:pt idx="22" formatCode="0">
                  <c:v>669.51847957621862</c:v>
                </c:pt>
                <c:pt idx="25">
                  <c:v>611.53898799240415</c:v>
                </c:pt>
                <c:pt idx="28" formatCode="0">
                  <c:v>178.11220590938063</c:v>
                </c:pt>
                <c:pt idx="31">
                  <c:v>66.784560978286862</c:v>
                </c:pt>
              </c:numCache>
            </c:numRef>
          </c:val>
        </c:ser>
        <c:ser>
          <c:idx val="9"/>
          <c:order val="4"/>
          <c:tx>
            <c:strRef>
              <c:f>'2015 Data'!$BC$2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Data'!$BC$19:$BC$47</c:f>
              <c:numCache>
                <c:formatCode>0.0</c:formatCode>
                <c:ptCount val="29"/>
                <c:pt idx="1">
                  <c:v>2.7744544499303436</c:v>
                </c:pt>
                <c:pt idx="4">
                  <c:v>4.596498442565168</c:v>
                </c:pt>
                <c:pt idx="7">
                  <c:v>5.5355084240690502</c:v>
                </c:pt>
                <c:pt idx="10">
                  <c:v>2.9911763678001702</c:v>
                </c:pt>
                <c:pt idx="13">
                  <c:v>4.7324276291873151</c:v>
                </c:pt>
                <c:pt idx="16">
                  <c:v>5.5804972107602033</c:v>
                </c:pt>
                <c:pt idx="19">
                  <c:v>6.639108185837304</c:v>
                </c:pt>
                <c:pt idx="22">
                  <c:v>5.7942870539914475</c:v>
                </c:pt>
                <c:pt idx="25">
                  <c:v>11.927606761720719</c:v>
                </c:pt>
                <c:pt idx="28">
                  <c:v>5.195892222335261</c:v>
                </c:pt>
              </c:numCache>
            </c:numRef>
          </c:val>
        </c:ser>
        <c:ser>
          <c:idx val="10"/>
          <c:order val="5"/>
          <c:tx>
            <c:strRef>
              <c:f>'2015 Data'!$BD$2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Data'!$BD$19:$BD$47</c:f>
              <c:numCache>
                <c:formatCode>0.0</c:formatCode>
                <c:ptCount val="29"/>
                <c:pt idx="1">
                  <c:v>0.96867936712948011</c:v>
                </c:pt>
                <c:pt idx="4">
                  <c:v>0.58120762027768813</c:v>
                </c:pt>
                <c:pt idx="7">
                  <c:v>0.38747174685179209</c:v>
                </c:pt>
                <c:pt idx="10">
                  <c:v>0.29060381013884407</c:v>
                </c:pt>
                <c:pt idx="13">
                  <c:v>0.19373587342589604</c:v>
                </c:pt>
                <c:pt idx="16">
                  <c:v>0.19373587342589604</c:v>
                </c:pt>
                <c:pt idx="19">
                  <c:v>6.1995479496286734</c:v>
                </c:pt>
                <c:pt idx="22">
                  <c:v>0.58120762027768813</c:v>
                </c:pt>
                <c:pt idx="25">
                  <c:v>3.4872457216661288</c:v>
                </c:pt>
                <c:pt idx="28">
                  <c:v>0.58120762027768813</c:v>
                </c:pt>
              </c:numCache>
            </c:numRef>
          </c:val>
        </c:ser>
        <c:ser>
          <c:idx val="0"/>
          <c:order val="6"/>
          <c:tx>
            <c:strRef>
              <c:f>'2015 Data'!$AQ$2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'2015 Data'!$AT$19:$AT$50</c:f>
              <c:strCache>
                <c:ptCount val="31"/>
                <c:pt idx="0">
                  <c:v>Lutvann</c:v>
                </c:pt>
                <c:pt idx="3">
                  <c:v>Ustaoset</c:v>
                </c:pt>
                <c:pt idx="6">
                  <c:v>Kolbotntjern</c:v>
                </c:pt>
                <c:pt idx="9">
                  <c:v>Nesøytjernet</c:v>
                </c:pt>
                <c:pt idx="12">
                  <c:v>Maridalsvannet</c:v>
                </c:pt>
                <c:pt idx="15">
                  <c:v>Akerselva</c:v>
                </c:pt>
                <c:pt idx="18">
                  <c:v>Østensjøvann</c:v>
                </c:pt>
                <c:pt idx="21">
                  <c:v>Gjersjøen</c:v>
                </c:pt>
                <c:pt idx="24">
                  <c:v>Årungen</c:v>
                </c:pt>
                <c:pt idx="27">
                  <c:v>Sværsvann</c:v>
                </c:pt>
                <c:pt idx="30">
                  <c:v>Solbergvannet</c:v>
                </c:pt>
              </c:strCache>
            </c:strRef>
          </c:cat>
          <c:val>
            <c:numRef>
              <c:f>'2015 Data'!$BF$19:$BF$50</c:f>
              <c:numCache>
                <c:formatCode>0.0</c:formatCode>
                <c:ptCount val="32"/>
                <c:pt idx="1">
                  <c:v>12.136324024003823</c:v>
                </c:pt>
                <c:pt idx="4">
                  <c:v>9.3469600822962811</c:v>
                </c:pt>
                <c:pt idx="7">
                  <c:v>33.580299560193197</c:v>
                </c:pt>
                <c:pt idx="10">
                  <c:v>48.379461591114882</c:v>
                </c:pt>
                <c:pt idx="13">
                  <c:v>29.221939699359126</c:v>
                </c:pt>
                <c:pt idx="16">
                  <c:v>30.216400706392562</c:v>
                </c:pt>
                <c:pt idx="19">
                  <c:v>32.361767447256355</c:v>
                </c:pt>
                <c:pt idx="22">
                  <c:v>48.72688830343531</c:v>
                </c:pt>
                <c:pt idx="25">
                  <c:v>51.050132167962396</c:v>
                </c:pt>
                <c:pt idx="28">
                  <c:v>68.312993717803991</c:v>
                </c:pt>
                <c:pt idx="31">
                  <c:v>89.062445574212532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4925696"/>
        <c:axId val="134935680"/>
      </c:barChart>
      <c:catAx>
        <c:axId val="1349256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34935680"/>
        <c:crosses val="autoZero"/>
        <c:auto val="1"/>
        <c:lblAlgn val="ctr"/>
        <c:lblOffset val="100"/>
        <c:noMultiLvlLbl val="0"/>
      </c:catAx>
      <c:valAx>
        <c:axId val="134935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3492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24079303942739"/>
          <c:y val="8.3069494090950616E-2"/>
          <c:w val="9.5759236179133428E-2"/>
          <c:h val="0.66019367903211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'2015 Data'!$BE$4:$BE$14</c:f>
              <c:numCache>
                <c:formatCode>0</c:formatCode>
                <c:ptCount val="11"/>
                <c:pt idx="0">
                  <c:v>234.32400067016667</c:v>
                </c:pt>
                <c:pt idx="1">
                  <c:v>1605.214945241351</c:v>
                </c:pt>
                <c:pt idx="2">
                  <c:v>1117.1355220883343</c:v>
                </c:pt>
                <c:pt idx="3">
                  <c:v>1731.9310674715919</c:v>
                </c:pt>
                <c:pt idx="4">
                  <c:v>72.039392442099611</c:v>
                </c:pt>
                <c:pt idx="5">
                  <c:v>198.50124965674564</c:v>
                </c:pt>
                <c:pt idx="6">
                  <c:v>1597.5554206731201</c:v>
                </c:pt>
                <c:pt idx="7">
                  <c:v>762.13104088384182</c:v>
                </c:pt>
                <c:pt idx="8">
                  <c:v>951.43939102091826</c:v>
                </c:pt>
                <c:pt idx="9">
                  <c:v>178.53917676191134</c:v>
                </c:pt>
                <c:pt idx="10">
                  <c:v>79.689872067314028</c:v>
                </c:pt>
              </c:numCache>
            </c:numRef>
          </c:xVal>
          <c:yVal>
            <c:numRef>
              <c:f>'2015 Data'!$AV$4:$AV$14</c:f>
              <c:numCache>
                <c:formatCode>0.0</c:formatCode>
                <c:ptCount val="11"/>
                <c:pt idx="0">
                  <c:v>275.81216627576225</c:v>
                </c:pt>
                <c:pt idx="1">
                  <c:v>1193.6723389390688</c:v>
                </c:pt>
                <c:pt idx="2">
                  <c:v>1045.8106691950695</c:v>
                </c:pt>
                <c:pt idx="3">
                  <c:v>1133.9887219921152</c:v>
                </c:pt>
                <c:pt idx="4">
                  <c:v>107.49039373222216</c:v>
                </c:pt>
                <c:pt idx="5">
                  <c:v>204.55112530565398</c:v>
                </c:pt>
                <c:pt idx="6">
                  <c:v>1206.0981086880581</c:v>
                </c:pt>
                <c:pt idx="7">
                  <c:v>813.81306452417778</c:v>
                </c:pt>
                <c:pt idx="8">
                  <c:v>827.28679075802177</c:v>
                </c:pt>
                <c:pt idx="9">
                  <c:v>185.93742202704723</c:v>
                </c:pt>
                <c:pt idx="10">
                  <c:v>153.15135485802682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42080"/>
        <c:axId val="134968832"/>
      </c:scatterChart>
      <c:valAx>
        <c:axId val="13494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HCO3-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4968832"/>
        <c:crosses val="autoZero"/>
        <c:crossBetween val="midCat"/>
      </c:valAx>
      <c:valAx>
        <c:axId val="134968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</a:t>
                </a:r>
                <a:r>
                  <a:rPr lang="en-US" baseline="0"/>
                  <a:t> </a:t>
                </a:r>
                <a:r>
                  <a:rPr lang="en-US"/>
                  <a:t>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4942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 Data'!$C$4:$C$14</c:f>
              <c:strCache>
                <c:ptCount val="11"/>
                <c:pt idx="0">
                  <c:v>Lutvann</c:v>
                </c:pt>
                <c:pt idx="1">
                  <c:v>Ustaoset</c:v>
                </c:pt>
                <c:pt idx="2">
                  <c:v>Kolbotntjern</c:v>
                </c:pt>
                <c:pt idx="3">
                  <c:v>Nesøytjernet</c:v>
                </c:pt>
                <c:pt idx="4">
                  <c:v>Maridalsvannet</c:v>
                </c:pt>
                <c:pt idx="5">
                  <c:v>Akerselva</c:v>
                </c:pt>
                <c:pt idx="6">
                  <c:v>Østensjøvann</c:v>
                </c:pt>
                <c:pt idx="7">
                  <c:v>Gjersjøen</c:v>
                </c:pt>
                <c:pt idx="8">
                  <c:v>Årungen</c:v>
                </c:pt>
                <c:pt idx="9">
                  <c:v>Sværsvann</c:v>
                </c:pt>
                <c:pt idx="10">
                  <c:v>Solbergvannet</c:v>
                </c:pt>
              </c:strCache>
            </c:strRef>
          </c:cat>
          <c:val>
            <c:numRef>
              <c:f>'2015 Data'!$CS$4:$CS$14</c:f>
              <c:numCache>
                <c:formatCode>0.00</c:formatCode>
                <c:ptCount val="11"/>
                <c:pt idx="0">
                  <c:v>3.29</c:v>
                </c:pt>
                <c:pt idx="1">
                  <c:v>2.8149999999999999</c:v>
                </c:pt>
                <c:pt idx="2">
                  <c:v>2.5299999999999998</c:v>
                </c:pt>
                <c:pt idx="3">
                  <c:v>2.79</c:v>
                </c:pt>
                <c:pt idx="4">
                  <c:v>3.15</c:v>
                </c:pt>
                <c:pt idx="5">
                  <c:v>2.92</c:v>
                </c:pt>
                <c:pt idx="6">
                  <c:v>2.355</c:v>
                </c:pt>
                <c:pt idx="7">
                  <c:v>2.59</c:v>
                </c:pt>
                <c:pt idx="8">
                  <c:v>2.4</c:v>
                </c:pt>
                <c:pt idx="9">
                  <c:v>2.15</c:v>
                </c:pt>
                <c:pt idx="10">
                  <c:v>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6560"/>
        <c:axId val="99746560"/>
      </c:barChart>
      <c:catAx>
        <c:axId val="9966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9746560"/>
        <c:crosses val="autoZero"/>
        <c:auto val="1"/>
        <c:lblAlgn val="ctr"/>
        <c:lblOffset val="100"/>
        <c:noMultiLvlLbl val="0"/>
      </c:catAx>
      <c:valAx>
        <c:axId val="99746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pCO2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96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'2013 - 2015 All data'!$I$2</c:f>
              <c:strCache>
                <c:ptCount val="1"/>
                <c:pt idx="0">
                  <c:v>Alkalinity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'2013 - 2015 All data'!$H$4:$H$36</c:f>
              <c:numCache>
                <c:formatCode>0.00</c:formatCode>
                <c:ptCount val="33"/>
                <c:pt idx="0">
                  <c:v>7.53</c:v>
                </c:pt>
                <c:pt idx="1">
                  <c:v>6.78</c:v>
                </c:pt>
                <c:pt idx="2" formatCode="General">
                  <c:v>7.02</c:v>
                </c:pt>
                <c:pt idx="3">
                  <c:v>6.83</c:v>
                </c:pt>
                <c:pt idx="4">
                  <c:v>7.45</c:v>
                </c:pt>
                <c:pt idx="5">
                  <c:v>7.52</c:v>
                </c:pt>
                <c:pt idx="6" formatCode="General">
                  <c:v>7.27</c:v>
                </c:pt>
                <c:pt idx="7" formatCode="General">
                  <c:v>7.38</c:v>
                </c:pt>
                <c:pt idx="8">
                  <c:v>7.4</c:v>
                </c:pt>
                <c:pt idx="9">
                  <c:v>7.39</c:v>
                </c:pt>
                <c:pt idx="10">
                  <c:v>7.23</c:v>
                </c:pt>
                <c:pt idx="11">
                  <c:v>6.5</c:v>
                </c:pt>
                <c:pt idx="12" formatCode="General">
                  <c:v>7.46</c:v>
                </c:pt>
                <c:pt idx="13">
                  <c:v>6.6</c:v>
                </c:pt>
                <c:pt idx="14">
                  <c:v>6.68</c:v>
                </c:pt>
                <c:pt idx="15">
                  <c:v>7.12</c:v>
                </c:pt>
                <c:pt idx="16" formatCode="General">
                  <c:v>6.81</c:v>
                </c:pt>
                <c:pt idx="17">
                  <c:v>7.8</c:v>
                </c:pt>
                <c:pt idx="18">
                  <c:v>8.27</c:v>
                </c:pt>
                <c:pt idx="19" formatCode="General">
                  <c:v>7.83</c:v>
                </c:pt>
                <c:pt idx="20">
                  <c:v>6.38</c:v>
                </c:pt>
                <c:pt idx="21">
                  <c:v>6.6</c:v>
                </c:pt>
                <c:pt idx="22" formatCode="General">
                  <c:v>5.56</c:v>
                </c:pt>
                <c:pt idx="23">
                  <c:v>6.25</c:v>
                </c:pt>
                <c:pt idx="24">
                  <c:v>6.39</c:v>
                </c:pt>
                <c:pt idx="25" formatCode="General">
                  <c:v>6.21</c:v>
                </c:pt>
                <c:pt idx="26" formatCode="General">
                  <c:v>7.82</c:v>
                </c:pt>
                <c:pt idx="27">
                  <c:v>7.28</c:v>
                </c:pt>
                <c:pt idx="28">
                  <c:v>7.11</c:v>
                </c:pt>
                <c:pt idx="29" formatCode="General">
                  <c:v>7.36</c:v>
                </c:pt>
                <c:pt idx="30">
                  <c:v>7.38</c:v>
                </c:pt>
                <c:pt idx="31">
                  <c:v>7.46</c:v>
                </c:pt>
                <c:pt idx="32" formatCode="General">
                  <c:v>7.18</c:v>
                </c:pt>
              </c:numCache>
            </c:numRef>
          </c:xVal>
          <c:yVal>
            <c:numRef>
              <c:f>'2013 - 2015 All data'!$I$4:$I$36</c:f>
              <c:numCache>
                <c:formatCode>0</c:formatCode>
                <c:ptCount val="33"/>
                <c:pt idx="0">
                  <c:v>142.38948626045399</c:v>
                </c:pt>
                <c:pt idx="1">
                  <c:v>261.03629854471654</c:v>
                </c:pt>
                <c:pt idx="2" formatCode="General">
                  <c:v>240</c:v>
                </c:pt>
                <c:pt idx="3">
                  <c:v>241.77287581699343</c:v>
                </c:pt>
                <c:pt idx="4">
                  <c:v>742.28915662650593</c:v>
                </c:pt>
                <c:pt idx="5">
                  <c:v>865.64042570167499</c:v>
                </c:pt>
                <c:pt idx="6" formatCode="General">
                  <c:v>810</c:v>
                </c:pt>
                <c:pt idx="7" formatCode="General">
                  <c:v>1160</c:v>
                </c:pt>
                <c:pt idx="8">
                  <c:v>1074.1940625622635</c:v>
                </c:pt>
                <c:pt idx="9">
                  <c:v>1194.6945799962623</c:v>
                </c:pt>
                <c:pt idx="10">
                  <c:v>228.3687661434532</c:v>
                </c:pt>
                <c:pt idx="11">
                  <c:v>274.43862139204447</c:v>
                </c:pt>
                <c:pt idx="12" formatCode="General">
                  <c:v>270</c:v>
                </c:pt>
                <c:pt idx="13">
                  <c:v>346.51930261519306</c:v>
                </c:pt>
                <c:pt idx="14">
                  <c:v>111.6865552903739</c:v>
                </c:pt>
                <c:pt idx="15">
                  <c:v>131.40114221936307</c:v>
                </c:pt>
                <c:pt idx="16" formatCode="General">
                  <c:v>113</c:v>
                </c:pt>
                <c:pt idx="17">
                  <c:v>1532.5389221556889</c:v>
                </c:pt>
                <c:pt idx="18">
                  <c:v>1753.1808087307006</c:v>
                </c:pt>
                <c:pt idx="19" formatCode="General">
                  <c:v>1780</c:v>
                </c:pt>
                <c:pt idx="20">
                  <c:v>264.67527369287109</c:v>
                </c:pt>
                <c:pt idx="21">
                  <c:v>330.52588198335229</c:v>
                </c:pt>
                <c:pt idx="22" formatCode="General">
                  <c:v>130</c:v>
                </c:pt>
                <c:pt idx="23">
                  <c:v>221.78162075206114</c:v>
                </c:pt>
                <c:pt idx="24">
                  <c:v>993.45085628345578</c:v>
                </c:pt>
                <c:pt idx="25" formatCode="General">
                  <c:v>230</c:v>
                </c:pt>
                <c:pt idx="26" formatCode="General">
                  <c:v>1640</c:v>
                </c:pt>
                <c:pt idx="27">
                  <c:v>1377.0163542082171</c:v>
                </c:pt>
                <c:pt idx="28">
                  <c:v>1975.9116840745278</c:v>
                </c:pt>
                <c:pt idx="29" formatCode="General">
                  <c:v>1640</c:v>
                </c:pt>
                <c:pt idx="30">
                  <c:v>916.61165241598724</c:v>
                </c:pt>
                <c:pt idx="31">
                  <c:v>984.24799356397023</c:v>
                </c:pt>
                <c:pt idx="32" formatCode="General">
                  <c:v>1000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'2013 - 2015 All data'!$AN$2</c:f>
              <c:strCache>
                <c:ptCount val="1"/>
                <c:pt idx="0">
                  <c:v>eq DIC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'2013 - 2015 All data'!$H$4:$H$36</c:f>
              <c:numCache>
                <c:formatCode>0.00</c:formatCode>
                <c:ptCount val="33"/>
                <c:pt idx="0">
                  <c:v>7.53</c:v>
                </c:pt>
                <c:pt idx="1">
                  <c:v>6.78</c:v>
                </c:pt>
                <c:pt idx="2" formatCode="General">
                  <c:v>7.02</c:v>
                </c:pt>
                <c:pt idx="3">
                  <c:v>6.83</c:v>
                </c:pt>
                <c:pt idx="4">
                  <c:v>7.45</c:v>
                </c:pt>
                <c:pt idx="5">
                  <c:v>7.52</c:v>
                </c:pt>
                <c:pt idx="6" formatCode="General">
                  <c:v>7.27</c:v>
                </c:pt>
                <c:pt idx="7" formatCode="General">
                  <c:v>7.38</c:v>
                </c:pt>
                <c:pt idx="8">
                  <c:v>7.4</c:v>
                </c:pt>
                <c:pt idx="9">
                  <c:v>7.39</c:v>
                </c:pt>
                <c:pt idx="10">
                  <c:v>7.23</c:v>
                </c:pt>
                <c:pt idx="11">
                  <c:v>6.5</c:v>
                </c:pt>
                <c:pt idx="12" formatCode="General">
                  <c:v>7.46</c:v>
                </c:pt>
                <c:pt idx="13">
                  <c:v>6.6</c:v>
                </c:pt>
                <c:pt idx="14">
                  <c:v>6.68</c:v>
                </c:pt>
                <c:pt idx="15">
                  <c:v>7.12</c:v>
                </c:pt>
                <c:pt idx="16" formatCode="General">
                  <c:v>6.81</c:v>
                </c:pt>
                <c:pt idx="17">
                  <c:v>7.8</c:v>
                </c:pt>
                <c:pt idx="18">
                  <c:v>8.27</c:v>
                </c:pt>
                <c:pt idx="19" formatCode="General">
                  <c:v>7.83</c:v>
                </c:pt>
                <c:pt idx="20">
                  <c:v>6.38</c:v>
                </c:pt>
                <c:pt idx="21">
                  <c:v>6.6</c:v>
                </c:pt>
                <c:pt idx="22" formatCode="General">
                  <c:v>5.56</c:v>
                </c:pt>
                <c:pt idx="23">
                  <c:v>6.25</c:v>
                </c:pt>
                <c:pt idx="24">
                  <c:v>6.39</c:v>
                </c:pt>
                <c:pt idx="25" formatCode="General">
                  <c:v>6.21</c:v>
                </c:pt>
                <c:pt idx="26" formatCode="General">
                  <c:v>7.82</c:v>
                </c:pt>
                <c:pt idx="27">
                  <c:v>7.28</c:v>
                </c:pt>
                <c:pt idx="28">
                  <c:v>7.11</c:v>
                </c:pt>
                <c:pt idx="29" formatCode="General">
                  <c:v>7.36</c:v>
                </c:pt>
                <c:pt idx="30">
                  <c:v>7.38</c:v>
                </c:pt>
                <c:pt idx="31">
                  <c:v>7.46</c:v>
                </c:pt>
                <c:pt idx="32" formatCode="General">
                  <c:v>7.18</c:v>
                </c:pt>
              </c:numCache>
            </c:numRef>
          </c:xVal>
          <c:yVal>
            <c:numRef>
              <c:f>'2013 - 2015 All data'!$AN$4:$AN$36</c:f>
              <c:numCache>
                <c:formatCode>0</c:formatCode>
                <c:ptCount val="33"/>
                <c:pt idx="0">
                  <c:v>204.17379448991636</c:v>
                </c:pt>
                <c:pt idx="1">
                  <c:v>36.307805481093681</c:v>
                </c:pt>
                <c:pt idx="2">
                  <c:v>63.095734455115576</c:v>
                </c:pt>
                <c:pt idx="3" formatCode="0.0">
                  <c:v>40.738027784993079</c:v>
                </c:pt>
                <c:pt idx="4">
                  <c:v>169.82436526527474</c:v>
                </c:pt>
                <c:pt idx="5">
                  <c:v>199.52623151932801</c:v>
                </c:pt>
                <c:pt idx="6">
                  <c:v>112.2018454428156</c:v>
                </c:pt>
                <c:pt idx="7">
                  <c:v>144.54397709084935</c:v>
                </c:pt>
                <c:pt idx="8">
                  <c:v>151.35612486064406</c:v>
                </c:pt>
                <c:pt idx="9">
                  <c:v>147.91083883345598</c:v>
                </c:pt>
                <c:pt idx="10">
                  <c:v>102.32929923958436</c:v>
                </c:pt>
                <c:pt idx="11">
                  <c:v>19.054607181775534</c:v>
                </c:pt>
                <c:pt idx="12">
                  <c:v>173.78008289448215</c:v>
                </c:pt>
                <c:pt idx="13">
                  <c:v>23.988329192892834</c:v>
                </c:pt>
                <c:pt idx="14">
                  <c:v>28.840315034509665</c:v>
                </c:pt>
                <c:pt idx="15">
                  <c:v>79.432823481362007</c:v>
                </c:pt>
                <c:pt idx="16">
                  <c:v>38.904514503803576</c:v>
                </c:pt>
                <c:pt idx="17">
                  <c:v>380.18939636332027</c:v>
                </c:pt>
                <c:pt idx="18">
                  <c:v>1122.0184544281533</c:v>
                </c:pt>
                <c:pt idx="19">
                  <c:v>407.38027784993113</c:v>
                </c:pt>
                <c:pt idx="20">
                  <c:v>14.454397709084942</c:v>
                </c:pt>
                <c:pt idx="21">
                  <c:v>23.988329192892834</c:v>
                </c:pt>
                <c:pt idx="22">
                  <c:v>2.187761624195605</c:v>
                </c:pt>
                <c:pt idx="23">
                  <c:v>10.715193053581183</c:v>
                </c:pt>
                <c:pt idx="24">
                  <c:v>14.791083883345609</c:v>
                </c:pt>
                <c:pt idx="25">
                  <c:v>9.772372210657192</c:v>
                </c:pt>
                <c:pt idx="26">
                  <c:v>398.10717059827283</c:v>
                </c:pt>
                <c:pt idx="27">
                  <c:v>114.81536216260146</c:v>
                </c:pt>
                <c:pt idx="28">
                  <c:v>77.624711671599684</c:v>
                </c:pt>
                <c:pt idx="29">
                  <c:v>138.03842647581342</c:v>
                </c:pt>
                <c:pt idx="30">
                  <c:v>144.54397709084935</c:v>
                </c:pt>
                <c:pt idx="31">
                  <c:v>173.78008289448215</c:v>
                </c:pt>
                <c:pt idx="32">
                  <c:v>91.201083945848382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91136"/>
        <c:axId val="134093056"/>
      </c:scatterChart>
      <c:valAx>
        <c:axId val="134091136"/>
        <c:scaling>
          <c:orientation val="minMax"/>
          <c:min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093056"/>
        <c:crosses val="autoZero"/>
        <c:crossBetween val="midCat"/>
      </c:valAx>
      <c:valAx>
        <c:axId val="134093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Alkalinity (ueq/L)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9113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8888888888888886"/>
          <c:y val="0.11998651210265383"/>
          <c:w val="0.15085158363296947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4158937829941"/>
          <c:y val="5.6030183727034118E-2"/>
          <c:w val="0.78622220980408253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'2015 Data'!$K$2</c:f>
              <c:strCache>
                <c:ptCount val="1"/>
                <c:pt idx="0">
                  <c:v>Alkalinity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 Data'!$J$4:$J$14</c:f>
              <c:numCache>
                <c:formatCode>General</c:formatCode>
                <c:ptCount val="11"/>
                <c:pt idx="0">
                  <c:v>7.46</c:v>
                </c:pt>
                <c:pt idx="1">
                  <c:v>7.82</c:v>
                </c:pt>
                <c:pt idx="2">
                  <c:v>7.38</c:v>
                </c:pt>
                <c:pt idx="3">
                  <c:v>7.83</c:v>
                </c:pt>
                <c:pt idx="4">
                  <c:v>6.81</c:v>
                </c:pt>
                <c:pt idx="5">
                  <c:v>7.02</c:v>
                </c:pt>
                <c:pt idx="6">
                  <c:v>7.36</c:v>
                </c:pt>
                <c:pt idx="7">
                  <c:v>7.27</c:v>
                </c:pt>
                <c:pt idx="8">
                  <c:v>7.18</c:v>
                </c:pt>
                <c:pt idx="9">
                  <c:v>6.21</c:v>
                </c:pt>
                <c:pt idx="10">
                  <c:v>5.56</c:v>
                </c:pt>
              </c:numCache>
            </c:numRef>
          </c:xVal>
          <c:yVal>
            <c:numRef>
              <c:f>'2015 Data'!$K$4:$K$14</c:f>
              <c:numCache>
                <c:formatCode>General</c:formatCode>
                <c:ptCount val="11"/>
                <c:pt idx="0">
                  <c:v>270</c:v>
                </c:pt>
                <c:pt idx="1">
                  <c:v>1640</c:v>
                </c:pt>
                <c:pt idx="2">
                  <c:v>1160</c:v>
                </c:pt>
                <c:pt idx="3">
                  <c:v>1780</c:v>
                </c:pt>
                <c:pt idx="4">
                  <c:v>113</c:v>
                </c:pt>
                <c:pt idx="5">
                  <c:v>240</c:v>
                </c:pt>
                <c:pt idx="6">
                  <c:v>1640</c:v>
                </c:pt>
                <c:pt idx="7">
                  <c:v>810</c:v>
                </c:pt>
                <c:pt idx="8">
                  <c:v>1000</c:v>
                </c:pt>
                <c:pt idx="9">
                  <c:v>230</c:v>
                </c:pt>
                <c:pt idx="10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'2015 Data'!$DK$2</c:f>
              <c:strCache>
                <c:ptCount val="1"/>
                <c:pt idx="0">
                  <c:v>eq DIC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 Data'!$J$4:$J$14</c:f>
              <c:numCache>
                <c:formatCode>General</c:formatCode>
                <c:ptCount val="11"/>
                <c:pt idx="0">
                  <c:v>7.46</c:v>
                </c:pt>
                <c:pt idx="1">
                  <c:v>7.82</c:v>
                </c:pt>
                <c:pt idx="2">
                  <c:v>7.38</c:v>
                </c:pt>
                <c:pt idx="3">
                  <c:v>7.83</c:v>
                </c:pt>
                <c:pt idx="4">
                  <c:v>6.81</c:v>
                </c:pt>
                <c:pt idx="5">
                  <c:v>7.02</c:v>
                </c:pt>
                <c:pt idx="6">
                  <c:v>7.36</c:v>
                </c:pt>
                <c:pt idx="7">
                  <c:v>7.27</c:v>
                </c:pt>
                <c:pt idx="8">
                  <c:v>7.18</c:v>
                </c:pt>
                <c:pt idx="9">
                  <c:v>6.21</c:v>
                </c:pt>
                <c:pt idx="10">
                  <c:v>5.56</c:v>
                </c:pt>
              </c:numCache>
            </c:numRef>
          </c:xVal>
          <c:yVal>
            <c:numRef>
              <c:f>'2015 Data'!$DK$4:$DK$14</c:f>
              <c:numCache>
                <c:formatCode>0</c:formatCode>
                <c:ptCount val="11"/>
                <c:pt idx="0">
                  <c:v>173.78008289448215</c:v>
                </c:pt>
                <c:pt idx="1">
                  <c:v>398.10717059827283</c:v>
                </c:pt>
                <c:pt idx="2">
                  <c:v>144.54397709084935</c:v>
                </c:pt>
                <c:pt idx="3">
                  <c:v>407.38027784993113</c:v>
                </c:pt>
                <c:pt idx="4">
                  <c:v>38.904514503803576</c:v>
                </c:pt>
                <c:pt idx="5">
                  <c:v>63.095734455115576</c:v>
                </c:pt>
                <c:pt idx="6">
                  <c:v>138.03842647581342</c:v>
                </c:pt>
                <c:pt idx="7">
                  <c:v>112.2018454428156</c:v>
                </c:pt>
                <c:pt idx="8">
                  <c:v>91.201083945848382</c:v>
                </c:pt>
                <c:pt idx="9">
                  <c:v>9.772372210657192</c:v>
                </c:pt>
                <c:pt idx="10">
                  <c:v>2.187761624195605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07392"/>
        <c:axId val="134567424"/>
      </c:scatterChart>
      <c:valAx>
        <c:axId val="132907392"/>
        <c:scaling>
          <c:orientation val="minMax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567424"/>
        <c:crosses val="autoZero"/>
        <c:crossBetween val="midCat"/>
      </c:valAx>
      <c:valAx>
        <c:axId val="134567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Alkalinity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290739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8077095692050316"/>
          <c:y val="3.2023549139690875E-2"/>
          <c:w val="0.15085158363296947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'2013 - 2015 All data'!$J$4:$J$36</c:f>
              <c:numCache>
                <c:formatCode>0.0</c:formatCode>
                <c:ptCount val="33"/>
                <c:pt idx="0">
                  <c:v>91.9</c:v>
                </c:pt>
                <c:pt idx="1">
                  <c:v>51.7</c:v>
                </c:pt>
                <c:pt idx="2" formatCode="General">
                  <c:v>45.2</c:v>
                </c:pt>
                <c:pt idx="3">
                  <c:v>35.5</c:v>
                </c:pt>
                <c:pt idx="4" formatCode="0">
                  <c:v>198.8</c:v>
                </c:pt>
                <c:pt idx="5">
                  <c:v>198.3</c:v>
                </c:pt>
                <c:pt idx="6" formatCode="General">
                  <c:v>200</c:v>
                </c:pt>
                <c:pt idx="7" formatCode="General">
                  <c:v>236</c:v>
                </c:pt>
                <c:pt idx="8" formatCode="0">
                  <c:v>252</c:v>
                </c:pt>
                <c:pt idx="9">
                  <c:v>261</c:v>
                </c:pt>
                <c:pt idx="10">
                  <c:v>45.9</c:v>
                </c:pt>
                <c:pt idx="11">
                  <c:v>44</c:v>
                </c:pt>
                <c:pt idx="12" formatCode="General">
                  <c:v>49.3</c:v>
                </c:pt>
                <c:pt idx="13">
                  <c:v>64</c:v>
                </c:pt>
                <c:pt idx="14">
                  <c:v>19.899999999999999</c:v>
                </c:pt>
                <c:pt idx="15">
                  <c:v>19.07</c:v>
                </c:pt>
                <c:pt idx="16" formatCode="General">
                  <c:v>22.4</c:v>
                </c:pt>
                <c:pt idx="17" formatCode="0">
                  <c:v>213</c:v>
                </c:pt>
                <c:pt idx="18">
                  <c:v>195</c:v>
                </c:pt>
                <c:pt idx="19" formatCode="General">
                  <c:v>216</c:v>
                </c:pt>
                <c:pt idx="20">
                  <c:v>38.5</c:v>
                </c:pt>
                <c:pt idx="21">
                  <c:v>26</c:v>
                </c:pt>
                <c:pt idx="22" formatCode="General">
                  <c:v>31.5</c:v>
                </c:pt>
                <c:pt idx="23">
                  <c:v>58.1</c:v>
                </c:pt>
                <c:pt idx="24">
                  <c:v>67.3</c:v>
                </c:pt>
                <c:pt idx="25" formatCode="General">
                  <c:v>51.9</c:v>
                </c:pt>
                <c:pt idx="26" formatCode="0">
                  <c:v>164.2</c:v>
                </c:pt>
                <c:pt idx="27" formatCode="0">
                  <c:v>224</c:v>
                </c:pt>
                <c:pt idx="28">
                  <c:v>244</c:v>
                </c:pt>
                <c:pt idx="29" formatCode="General">
                  <c:v>228</c:v>
                </c:pt>
                <c:pt idx="30" formatCode="0">
                  <c:v>219</c:v>
                </c:pt>
                <c:pt idx="31">
                  <c:v>209</c:v>
                </c:pt>
                <c:pt idx="32" formatCode="General">
                  <c:v>207</c:v>
                </c:pt>
              </c:numCache>
            </c:numRef>
          </c:xVal>
          <c:yVal>
            <c:numRef>
              <c:f>'2013 - 2015 All data'!$BF$4:$BF$36</c:f>
              <c:numCache>
                <c:formatCode>0.0E+00</c:formatCode>
                <c:ptCount val="33"/>
                <c:pt idx="0">
                  <c:v>9.0704467711965546E-4</c:v>
                </c:pt>
                <c:pt idx="1">
                  <c:v>3.8940931050696997E-4</c:v>
                </c:pt>
                <c:pt idx="2">
                  <c:v>3.0787242575901192E-4</c:v>
                </c:pt>
                <c:pt idx="3">
                  <c:v>2.9664563011224228E-4</c:v>
                </c:pt>
                <c:pt idx="4">
                  <c:v>1.8576626859150363E-3</c:v>
                </c:pt>
                <c:pt idx="5">
                  <c:v>1.6954504994254173E-3</c:v>
                </c:pt>
                <c:pt idx="6">
                  <c:v>1.3592646300505883E-3</c:v>
                </c:pt>
                <c:pt idx="7">
                  <c:v>1.8077330812735913E-3</c:v>
                </c:pt>
                <c:pt idx="8">
                  <c:v>2.3223745857654725E-3</c:v>
                </c:pt>
                <c:pt idx="9">
                  <c:v>2.1439031350238532E-3</c:v>
                </c:pt>
                <c:pt idx="10">
                  <c:v>4.2322536941348244E-4</c:v>
                </c:pt>
                <c:pt idx="11">
                  <c:v>3.3250295557711471E-4</c:v>
                </c:pt>
                <c:pt idx="12">
                  <c:v>3.4624297616228335E-4</c:v>
                </c:pt>
                <c:pt idx="13">
                  <c:v>4.2938381180957083E-4</c:v>
                </c:pt>
                <c:pt idx="14">
                  <c:v>1.5463962781854472E-4</c:v>
                </c:pt>
                <c:pt idx="15">
                  <c:v>1.1694792247018116E-4</c:v>
                </c:pt>
                <c:pt idx="16">
                  <c:v>1.5903402894040886E-4</c:v>
                </c:pt>
                <c:pt idx="17">
                  <c:v>1.6260089803402005E-3</c:v>
                </c:pt>
                <c:pt idx="18">
                  <c:v>1.3184821359522765E-3</c:v>
                </c:pt>
                <c:pt idx="19">
                  <c:v>1.1889477305205777E-3</c:v>
                </c:pt>
                <c:pt idx="20">
                  <c:v>3.0493806143933223E-4</c:v>
                </c:pt>
                <c:pt idx="21">
                  <c:v>1.9598574179317368E-4</c:v>
                </c:pt>
                <c:pt idx="22">
                  <c:v>2.1315388950136292E-4</c:v>
                </c:pt>
                <c:pt idx="23">
                  <c:v>5.3547237474899925E-4</c:v>
                </c:pt>
                <c:pt idx="24">
                  <c:v>5.435180137660032E-4</c:v>
                </c:pt>
                <c:pt idx="25">
                  <c:v>3.5487477084792746E-4</c:v>
                </c:pt>
                <c:pt idx="26">
                  <c:v>8.2267873853630316E-4</c:v>
                </c:pt>
                <c:pt idx="27">
                  <c:v>2.113825451032321E-3</c:v>
                </c:pt>
                <c:pt idx="28">
                  <c:v>1.8007759728556592E-3</c:v>
                </c:pt>
                <c:pt idx="29">
                  <c:v>1.3295635278126325E-3</c:v>
                </c:pt>
                <c:pt idx="30">
                  <c:v>2.0658696192153219E-3</c:v>
                </c:pt>
                <c:pt idx="31">
                  <c:v>1.7457304598384067E-3</c:v>
                </c:pt>
                <c:pt idx="32">
                  <c:v>1.3006286327676845E-3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03808"/>
        <c:axId val="134105728"/>
      </c:scatterChart>
      <c:valAx>
        <c:axId val="1341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(µS/cm)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4105728"/>
        <c:crosses val="autoZero"/>
        <c:crossBetween val="midCat"/>
      </c:valAx>
      <c:valAx>
        <c:axId val="134105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Ionic strength (µeq/L)</a:t>
                </a:r>
              </a:p>
            </c:rich>
          </c:tx>
          <c:overlay val="0"/>
        </c:title>
        <c:numFmt formatCode="0.0E+00" sourceLinked="1"/>
        <c:majorTickMark val="out"/>
        <c:minorTickMark val="none"/>
        <c:tickLblPos val="nextTo"/>
        <c:crossAx val="13410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SAR</a:t>
            </a:r>
          </a:p>
        </c:rich>
      </c:tx>
      <c:layout>
        <c:manualLayout>
          <c:xMode val="edge"/>
          <c:yMode val="edge"/>
          <c:x val="0.49258771293955023"/>
          <c:y val="0.15740740740740741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'2013 - 2015 All data'!$L$4:$L$36</c:f>
              <c:numCache>
                <c:formatCode>0.000</c:formatCode>
                <c:ptCount val="33"/>
                <c:pt idx="0">
                  <c:v>0.23100000000000001</c:v>
                </c:pt>
                <c:pt idx="1">
                  <c:v>0.11799999999999999</c:v>
                </c:pt>
                <c:pt idx="2" formatCode="General">
                  <c:v>0.189</c:v>
                </c:pt>
                <c:pt idx="3">
                  <c:v>0.29099999999999998</c:v>
                </c:pt>
                <c:pt idx="4">
                  <c:v>0.38</c:v>
                </c:pt>
                <c:pt idx="5">
                  <c:v>0.192</c:v>
                </c:pt>
                <c:pt idx="6" formatCode="General">
                  <c:v>0.30299999999999999</c:v>
                </c:pt>
                <c:pt idx="7" formatCode="General">
                  <c:v>0.153</c:v>
                </c:pt>
                <c:pt idx="8">
                  <c:v>0.13700000000000001</c:v>
                </c:pt>
                <c:pt idx="9">
                  <c:v>0.13200000000000001</c:v>
                </c:pt>
                <c:pt idx="10">
                  <c:v>2.8000000000000001E-2</c:v>
                </c:pt>
                <c:pt idx="11">
                  <c:v>2.7E-2</c:v>
                </c:pt>
                <c:pt idx="12" formatCode="General">
                  <c:v>3.5999999999999997E-2</c:v>
                </c:pt>
                <c:pt idx="13">
                  <c:v>0.27500000000000002</c:v>
                </c:pt>
                <c:pt idx="14">
                  <c:v>0.16300000000000001</c:v>
                </c:pt>
                <c:pt idx="15">
                  <c:v>0.125</c:v>
                </c:pt>
                <c:pt idx="16" formatCode="General">
                  <c:v>0.193</c:v>
                </c:pt>
                <c:pt idx="17">
                  <c:v>0.16200000000000001</c:v>
                </c:pt>
                <c:pt idx="18">
                  <c:v>0.156</c:v>
                </c:pt>
                <c:pt idx="19" formatCode="General">
                  <c:v>0.188</c:v>
                </c:pt>
                <c:pt idx="20">
                  <c:v>0.46600000000000003</c:v>
                </c:pt>
                <c:pt idx="21">
                  <c:v>0.56000000000000005</c:v>
                </c:pt>
                <c:pt idx="22" formatCode="General">
                  <c:v>0.82799999999999996</c:v>
                </c:pt>
                <c:pt idx="23">
                  <c:v>0.33700000000000002</c:v>
                </c:pt>
                <c:pt idx="24">
                  <c:v>0.254</c:v>
                </c:pt>
                <c:pt idx="25" formatCode="General">
                  <c:v>0.52700000000000002</c:v>
                </c:pt>
                <c:pt idx="26" formatCode="General">
                  <c:v>2E-3</c:v>
                </c:pt>
                <c:pt idx="27">
                  <c:v>0.20899999999999999</c:v>
                </c:pt>
                <c:pt idx="28">
                  <c:v>0.21199999999999999</c:v>
                </c:pt>
                <c:pt idx="29" formatCode="General">
                  <c:v>0.17899999999999999</c:v>
                </c:pt>
                <c:pt idx="30">
                  <c:v>0.22800000000000001</c:v>
                </c:pt>
                <c:pt idx="31">
                  <c:v>0.193</c:v>
                </c:pt>
                <c:pt idx="32" formatCode="General">
                  <c:v>0.34499999999999997</c:v>
                </c:pt>
              </c:numCache>
            </c:numRef>
          </c:xVal>
          <c:yVal>
            <c:numRef>
              <c:f>'2013 - 2015 All data'!$M$4:$M$36</c:f>
              <c:numCache>
                <c:formatCode>0.000</c:formatCode>
                <c:ptCount val="33"/>
                <c:pt idx="0">
                  <c:v>0.06</c:v>
                </c:pt>
                <c:pt idx="1">
                  <c:v>1.4E-2</c:v>
                </c:pt>
                <c:pt idx="2" formatCode="General">
                  <c:v>1.9E-2</c:v>
                </c:pt>
                <c:pt idx="3">
                  <c:v>3.6999999999999998E-2</c:v>
                </c:pt>
                <c:pt idx="4">
                  <c:v>2.3E-2</c:v>
                </c:pt>
                <c:pt idx="5">
                  <c:v>1.7000000000000001E-2</c:v>
                </c:pt>
                <c:pt idx="6" formatCode="General">
                  <c:v>3.1E-2</c:v>
                </c:pt>
                <c:pt idx="7" formatCode="General">
                  <c:v>1.2E-2</c:v>
                </c:pt>
                <c:pt idx="8">
                  <c:v>5.0000000000000001E-4</c:v>
                </c:pt>
                <c:pt idx="9">
                  <c:v>1.6E-2</c:v>
                </c:pt>
                <c:pt idx="10">
                  <c:v>3.0000000000000001E-3</c:v>
                </c:pt>
                <c:pt idx="11">
                  <c:v>2E-3</c:v>
                </c:pt>
                <c:pt idx="12" formatCode="General">
                  <c:v>2E-3</c:v>
                </c:pt>
                <c:pt idx="13">
                  <c:v>3.5000000000000003E-2</c:v>
                </c:pt>
                <c:pt idx="14">
                  <c:v>1.7999999999999999E-2</c:v>
                </c:pt>
                <c:pt idx="15">
                  <c:v>1.2E-2</c:v>
                </c:pt>
                <c:pt idx="16" formatCode="General">
                  <c:v>1.9E-2</c:v>
                </c:pt>
                <c:pt idx="17">
                  <c:v>1.0999999999999999E-2</c:v>
                </c:pt>
                <c:pt idx="18">
                  <c:v>1.0999999999999999E-2</c:v>
                </c:pt>
                <c:pt idx="19" formatCode="General">
                  <c:v>1.2E-2</c:v>
                </c:pt>
                <c:pt idx="20">
                  <c:v>6.6000000000000003E-2</c:v>
                </c:pt>
                <c:pt idx="21">
                  <c:v>7.1999999999999995E-2</c:v>
                </c:pt>
                <c:pt idx="22" formatCode="General">
                  <c:v>0.114</c:v>
                </c:pt>
                <c:pt idx="23">
                  <c:v>4.3999999999999997E-2</c:v>
                </c:pt>
                <c:pt idx="24">
                  <c:v>3.3000000000000002E-2</c:v>
                </c:pt>
                <c:pt idx="25" formatCode="General">
                  <c:v>6.4000000000000001E-2</c:v>
                </c:pt>
                <c:pt idx="26">
                  <c:v>5.0000000000000001E-4</c:v>
                </c:pt>
                <c:pt idx="27">
                  <c:v>3.2000000000000001E-2</c:v>
                </c:pt>
                <c:pt idx="28">
                  <c:v>3.1E-2</c:v>
                </c:pt>
                <c:pt idx="29" formatCode="General">
                  <c:v>1.7999999999999999E-2</c:v>
                </c:pt>
                <c:pt idx="30">
                  <c:v>0.28000000000000003</c:v>
                </c:pt>
                <c:pt idx="31">
                  <c:v>2.4E-2</c:v>
                </c:pt>
                <c:pt idx="32" formatCode="General">
                  <c:v>3.9E-2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20032"/>
        <c:axId val="134222208"/>
      </c:scatterChart>
      <c:valAx>
        <c:axId val="1342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λ254</a:t>
                </a:r>
                <a:r>
                  <a:rPr lang="en-US"/>
                  <a:t>nm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4222208"/>
        <c:crosses val="autoZero"/>
        <c:crossBetween val="midCat"/>
      </c:valAx>
      <c:valAx>
        <c:axId val="134222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λ400</a:t>
                </a:r>
                <a:r>
                  <a:rPr lang="en-US"/>
                  <a:t>nm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4220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sUVa</a:t>
            </a:r>
          </a:p>
        </c:rich>
      </c:tx>
      <c:layout>
        <c:manualLayout>
          <c:xMode val="edge"/>
          <c:yMode val="edge"/>
          <c:x val="0.52575419933251821"/>
          <c:y val="1.3888888888888888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0331842524706528"/>
                  <c:y val="0.3640102799650044"/>
                </c:manualLayout>
              </c:layout>
              <c:numFmt formatCode="General" sourceLinked="0"/>
            </c:trendlineLbl>
          </c:trendline>
          <c:xVal>
            <c:numRef>
              <c:f>'2013 - 2015 All data'!$L$4:$L$36</c:f>
              <c:numCache>
                <c:formatCode>0.000</c:formatCode>
                <c:ptCount val="33"/>
                <c:pt idx="0">
                  <c:v>0.23100000000000001</c:v>
                </c:pt>
                <c:pt idx="1">
                  <c:v>0.11799999999999999</c:v>
                </c:pt>
                <c:pt idx="2" formatCode="General">
                  <c:v>0.189</c:v>
                </c:pt>
                <c:pt idx="3">
                  <c:v>0.29099999999999998</c:v>
                </c:pt>
                <c:pt idx="4">
                  <c:v>0.38</c:v>
                </c:pt>
                <c:pt idx="5">
                  <c:v>0.192</c:v>
                </c:pt>
                <c:pt idx="6" formatCode="General">
                  <c:v>0.30299999999999999</c:v>
                </c:pt>
                <c:pt idx="7" formatCode="General">
                  <c:v>0.153</c:v>
                </c:pt>
                <c:pt idx="8">
                  <c:v>0.13700000000000001</c:v>
                </c:pt>
                <c:pt idx="9">
                  <c:v>0.13200000000000001</c:v>
                </c:pt>
                <c:pt idx="10">
                  <c:v>2.8000000000000001E-2</c:v>
                </c:pt>
                <c:pt idx="11">
                  <c:v>2.7E-2</c:v>
                </c:pt>
                <c:pt idx="12" formatCode="General">
                  <c:v>3.5999999999999997E-2</c:v>
                </c:pt>
                <c:pt idx="13">
                  <c:v>0.27500000000000002</c:v>
                </c:pt>
                <c:pt idx="14">
                  <c:v>0.16300000000000001</c:v>
                </c:pt>
                <c:pt idx="15">
                  <c:v>0.125</c:v>
                </c:pt>
                <c:pt idx="16" formatCode="General">
                  <c:v>0.193</c:v>
                </c:pt>
                <c:pt idx="17">
                  <c:v>0.16200000000000001</c:v>
                </c:pt>
                <c:pt idx="18">
                  <c:v>0.156</c:v>
                </c:pt>
                <c:pt idx="19" formatCode="General">
                  <c:v>0.188</c:v>
                </c:pt>
                <c:pt idx="20">
                  <c:v>0.46600000000000003</c:v>
                </c:pt>
                <c:pt idx="21">
                  <c:v>0.56000000000000005</c:v>
                </c:pt>
                <c:pt idx="22" formatCode="General">
                  <c:v>0.82799999999999996</c:v>
                </c:pt>
                <c:pt idx="23">
                  <c:v>0.33700000000000002</c:v>
                </c:pt>
                <c:pt idx="24">
                  <c:v>0.254</c:v>
                </c:pt>
                <c:pt idx="25" formatCode="General">
                  <c:v>0.52700000000000002</c:v>
                </c:pt>
                <c:pt idx="26" formatCode="General">
                  <c:v>2E-3</c:v>
                </c:pt>
                <c:pt idx="27">
                  <c:v>0.20899999999999999</c:v>
                </c:pt>
                <c:pt idx="28">
                  <c:v>0.21199999999999999</c:v>
                </c:pt>
                <c:pt idx="29" formatCode="General">
                  <c:v>0.17899999999999999</c:v>
                </c:pt>
                <c:pt idx="30">
                  <c:v>0.22800000000000001</c:v>
                </c:pt>
                <c:pt idx="31">
                  <c:v>0.193</c:v>
                </c:pt>
                <c:pt idx="32" formatCode="General">
                  <c:v>0.34499999999999997</c:v>
                </c:pt>
              </c:numCache>
            </c:numRef>
          </c:xVal>
          <c:yVal>
            <c:numRef>
              <c:f>'2013 - 2015 All data'!$N$4:$N$36</c:f>
              <c:numCache>
                <c:formatCode>0.00</c:formatCode>
                <c:ptCount val="33"/>
                <c:pt idx="0">
                  <c:v>4.6470000000000002</c:v>
                </c:pt>
                <c:pt idx="1">
                  <c:v>2.2410000000000001</c:v>
                </c:pt>
                <c:pt idx="2">
                  <c:v>5.6130000000000004</c:v>
                </c:pt>
                <c:pt idx="3">
                  <c:v>6.6559999999999997</c:v>
                </c:pt>
                <c:pt idx="4">
                  <c:v>6.9669999999999996</c:v>
                </c:pt>
                <c:pt idx="5">
                  <c:v>4.7930000000000001</c:v>
                </c:pt>
                <c:pt idx="6">
                  <c:v>8.9909999999999997</c:v>
                </c:pt>
                <c:pt idx="7">
                  <c:v>6.1820000000000004</c:v>
                </c:pt>
                <c:pt idx="8">
                  <c:v>5.3949999999999996</c:v>
                </c:pt>
                <c:pt idx="9">
                  <c:v>4.008</c:v>
                </c:pt>
                <c:pt idx="10">
                  <c:v>1.9119999999999999</c:v>
                </c:pt>
                <c:pt idx="11">
                  <c:v>0.75080000000000002</c:v>
                </c:pt>
                <c:pt idx="12">
                  <c:v>2.2309999999999999</c:v>
                </c:pt>
                <c:pt idx="13">
                  <c:v>6.5380000000000003</c:v>
                </c:pt>
                <c:pt idx="14">
                  <c:v>4.4489999999999998</c:v>
                </c:pt>
                <c:pt idx="15">
                  <c:v>2.4460000000000002</c:v>
                </c:pt>
                <c:pt idx="16">
                  <c:v>5.47</c:v>
                </c:pt>
                <c:pt idx="17">
                  <c:v>7.7190000000000003</c:v>
                </c:pt>
                <c:pt idx="18">
                  <c:v>6.157</c:v>
                </c:pt>
                <c:pt idx="19">
                  <c:v>8.85</c:v>
                </c:pt>
                <c:pt idx="20">
                  <c:v>7.3609999999999998</c:v>
                </c:pt>
                <c:pt idx="21">
                  <c:v>10.220000000000001</c:v>
                </c:pt>
                <c:pt idx="22">
                  <c:v>18.75</c:v>
                </c:pt>
                <c:pt idx="23">
                  <c:v>7.5890000000000004</c:v>
                </c:pt>
                <c:pt idx="24">
                  <c:v>4.9409999999999998</c:v>
                </c:pt>
                <c:pt idx="25">
                  <c:v>13.27</c:v>
                </c:pt>
                <c:pt idx="26">
                  <c:v>1.71</c:v>
                </c:pt>
                <c:pt idx="27">
                  <c:v>5.282</c:v>
                </c:pt>
                <c:pt idx="28">
                  <c:v>4.3140000000000001</c:v>
                </c:pt>
                <c:pt idx="29">
                  <c:v>5.96</c:v>
                </c:pt>
                <c:pt idx="30">
                  <c:v>6.9249999999999998</c:v>
                </c:pt>
                <c:pt idx="31">
                  <c:v>4.6420000000000003</c:v>
                </c:pt>
                <c:pt idx="32">
                  <c:v>9.44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64320"/>
        <c:axId val="134266240"/>
      </c:scatterChart>
      <c:valAx>
        <c:axId val="1342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 i="0" baseline="0">
                    <a:effectLst/>
                  </a:rPr>
                  <a:t>Abs. @ </a:t>
                </a:r>
                <a:r>
                  <a:rPr lang="el-GR" sz="1100" b="1" i="0" baseline="0">
                    <a:effectLst/>
                  </a:rPr>
                  <a:t>λ</a:t>
                </a:r>
                <a:r>
                  <a:rPr lang="nb-NO" sz="1100" b="1" i="0" baseline="0">
                    <a:effectLst/>
                  </a:rPr>
                  <a:t>254</a:t>
                </a:r>
                <a:r>
                  <a:rPr lang="en-US" sz="1100" b="1" i="0" baseline="0">
                    <a:effectLst/>
                  </a:rPr>
                  <a:t>nm</a:t>
                </a:r>
                <a:endParaRPr lang="en-GB" sz="600">
                  <a:effectLst/>
                </a:endParaRP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4266240"/>
        <c:crosses val="autoZero"/>
        <c:crossBetween val="midCat"/>
      </c:valAx>
      <c:valAx>
        <c:axId val="134266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DOC (mg/L)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264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'2013 - 2015 All data'!$Q$4:$Q$36</c:f>
              <c:numCache>
                <c:formatCode>0.00</c:formatCode>
                <c:ptCount val="33"/>
                <c:pt idx="0">
                  <c:v>9.3007893408476328</c:v>
                </c:pt>
                <c:pt idx="1">
                  <c:v>4.5287100000000002</c:v>
                </c:pt>
                <c:pt idx="2" formatCode="General">
                  <c:v>4.0990000000000002</c:v>
                </c:pt>
                <c:pt idx="3">
                  <c:v>6.0684677144444858</c:v>
                </c:pt>
                <c:pt idx="4">
                  <c:v>23.281723673743723</c:v>
                </c:pt>
                <c:pt idx="5">
                  <c:v>18.091999999999999</c:v>
                </c:pt>
                <c:pt idx="6" formatCode="General">
                  <c:v>16.308</c:v>
                </c:pt>
                <c:pt idx="7" formatCode="General">
                  <c:v>20.957000000000001</c:v>
                </c:pt>
                <c:pt idx="8">
                  <c:v>28.177924713367048</c:v>
                </c:pt>
                <c:pt idx="9">
                  <c:v>22.299099999999999</c:v>
                </c:pt>
                <c:pt idx="10">
                  <c:v>7.6698182323586517</c:v>
                </c:pt>
                <c:pt idx="11">
                  <c:v>5.4847400000000004</c:v>
                </c:pt>
                <c:pt idx="12" formatCode="General">
                  <c:v>5.5270000000000001</c:v>
                </c:pt>
                <c:pt idx="13">
                  <c:v>8.4512658170551767</c:v>
                </c:pt>
                <c:pt idx="14">
                  <c:v>2.5902686975781251</c:v>
                </c:pt>
                <c:pt idx="15">
                  <c:v>1.91856</c:v>
                </c:pt>
                <c:pt idx="16" formatCode="General">
                  <c:v>2.1539999999999999</c:v>
                </c:pt>
                <c:pt idx="17">
                  <c:v>31.452238707786567</c:v>
                </c:pt>
                <c:pt idx="18">
                  <c:v>23.033000000000001</c:v>
                </c:pt>
                <c:pt idx="19" formatCode="General">
                  <c:v>22.724</c:v>
                </c:pt>
                <c:pt idx="20">
                  <c:v>5.0433599999999998</c:v>
                </c:pt>
                <c:pt idx="21">
                  <c:v>2.8795099999999998</c:v>
                </c:pt>
                <c:pt idx="22" formatCode="General">
                  <c:v>3.069</c:v>
                </c:pt>
                <c:pt idx="23">
                  <c:v>5.448273939247569</c:v>
                </c:pt>
                <c:pt idx="24">
                  <c:v>4.9141500000000002</c:v>
                </c:pt>
                <c:pt idx="25" formatCode="General">
                  <c:v>3.726</c:v>
                </c:pt>
                <c:pt idx="26" formatCode="General">
                  <c:v>23.92</c:v>
                </c:pt>
                <c:pt idx="27">
                  <c:v>33.155149988124009</c:v>
                </c:pt>
                <c:pt idx="28">
                  <c:v>28.4818</c:v>
                </c:pt>
                <c:pt idx="29" formatCode="General">
                  <c:v>24.169</c:v>
                </c:pt>
                <c:pt idx="30">
                  <c:v>25.035275101039684</c:v>
                </c:pt>
                <c:pt idx="31">
                  <c:v>18.3963</c:v>
                </c:pt>
                <c:pt idx="32" formatCode="General">
                  <c:v>16.577999999999999</c:v>
                </c:pt>
              </c:numCache>
            </c:numRef>
          </c:xVal>
          <c:yVal>
            <c:numRef>
              <c:f>'2013 - 2015 All data'!$R$4:$R$36</c:f>
              <c:numCache>
                <c:formatCode>0.000</c:formatCode>
                <c:ptCount val="33"/>
                <c:pt idx="0" formatCode="0.00">
                  <c:v>1.8350339762777772</c:v>
                </c:pt>
                <c:pt idx="1">
                  <c:v>0.76590800000000003</c:v>
                </c:pt>
                <c:pt idx="2" formatCode="General">
                  <c:v>0.79490000000000005</c:v>
                </c:pt>
                <c:pt idx="3" formatCode="0.00">
                  <c:v>0.54896043614077494</c:v>
                </c:pt>
                <c:pt idx="4" formatCode="0.00">
                  <c:v>3.573648037549602</c:v>
                </c:pt>
                <c:pt idx="5">
                  <c:v>2.8195100000000002</c:v>
                </c:pt>
                <c:pt idx="6" formatCode="0.00">
                  <c:v>2.645</c:v>
                </c:pt>
                <c:pt idx="7" formatCode="General">
                  <c:v>2.9049999999999998</c:v>
                </c:pt>
                <c:pt idx="8" formatCode="0.00">
                  <c:v>3.7610949525191009</c:v>
                </c:pt>
                <c:pt idx="9">
                  <c:v>3.0527299999999999</c:v>
                </c:pt>
                <c:pt idx="10" formatCode="0.00">
                  <c:v>1.1573751651842334</c:v>
                </c:pt>
                <c:pt idx="11">
                  <c:v>0.93453299999999995</c:v>
                </c:pt>
                <c:pt idx="12" formatCode="General">
                  <c:v>1.1220000000000001</c:v>
                </c:pt>
                <c:pt idx="13" formatCode="0.00">
                  <c:v>0.89743638548216575</c:v>
                </c:pt>
                <c:pt idx="14" formatCode="0.00">
                  <c:v>0.18869372880455609</c:v>
                </c:pt>
                <c:pt idx="15">
                  <c:v>0.31007699999999999</c:v>
                </c:pt>
                <c:pt idx="16" formatCode="General">
                  <c:v>0.52610000000000001</c:v>
                </c:pt>
                <c:pt idx="17" formatCode="0.00">
                  <c:v>4.730521781645578</c:v>
                </c:pt>
                <c:pt idx="18">
                  <c:v>3.7503299999999999</c:v>
                </c:pt>
                <c:pt idx="19" formatCode="General">
                  <c:v>3.4950000000000001</c:v>
                </c:pt>
                <c:pt idx="20">
                  <c:v>1.0089399999999999</c:v>
                </c:pt>
                <c:pt idx="21">
                  <c:v>0.65432999999999997</c:v>
                </c:pt>
                <c:pt idx="22" formatCode="General">
                  <c:v>0.6643</c:v>
                </c:pt>
                <c:pt idx="23" formatCode="0.00">
                  <c:v>0.78639222705961187</c:v>
                </c:pt>
                <c:pt idx="24">
                  <c:v>0.90431899999999998</c:v>
                </c:pt>
                <c:pt idx="25" formatCode="General">
                  <c:v>0.84060000000000001</c:v>
                </c:pt>
                <c:pt idx="26" formatCode="General">
                  <c:v>2.214</c:v>
                </c:pt>
                <c:pt idx="27" formatCode="0.00">
                  <c:v>5.6764929403110793</c:v>
                </c:pt>
                <c:pt idx="28">
                  <c:v>5.2700100000000001</c:v>
                </c:pt>
                <c:pt idx="29" formatCode="General">
                  <c:v>3.8879999999999999</c:v>
                </c:pt>
                <c:pt idx="30" formatCode="0.00">
                  <c:v>5.512700144520859</c:v>
                </c:pt>
                <c:pt idx="31">
                  <c:v>4.1443700000000003</c:v>
                </c:pt>
                <c:pt idx="32" formatCode="General">
                  <c:v>3.1840000000000002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81440"/>
        <c:axId val="129583360"/>
      </c:scatterChart>
      <c:valAx>
        <c:axId val="12958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 (ueq/L)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9583360"/>
        <c:crosses val="autoZero"/>
        <c:crossBetween val="midCat"/>
      </c:valAx>
      <c:valAx>
        <c:axId val="129583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(ueq/L)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958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'2013 - 2015 All data'!$S$4:$S$36</c:f>
              <c:numCache>
                <c:formatCode>0.00</c:formatCode>
                <c:ptCount val="33"/>
                <c:pt idx="0">
                  <c:v>12.312395482003362</c:v>
                </c:pt>
                <c:pt idx="1">
                  <c:v>3.6961400000000002</c:v>
                </c:pt>
                <c:pt idx="2" formatCode="General">
                  <c:v>2.9430000000000001</c:v>
                </c:pt>
                <c:pt idx="3">
                  <c:v>1.6428362443451692</c:v>
                </c:pt>
                <c:pt idx="4">
                  <c:v>19.613084174847604</c:v>
                </c:pt>
                <c:pt idx="5">
                  <c:v>18.245999999999999</c:v>
                </c:pt>
                <c:pt idx="6" formatCode="General">
                  <c:v>12.977</c:v>
                </c:pt>
                <c:pt idx="7" formatCode="General">
                  <c:v>19.782</c:v>
                </c:pt>
                <c:pt idx="8">
                  <c:v>27.074719368361912</c:v>
                </c:pt>
                <c:pt idx="9">
                  <c:v>25.276700000000002</c:v>
                </c:pt>
                <c:pt idx="10">
                  <c:v>1.9272171947874293</c:v>
                </c:pt>
                <c:pt idx="11">
                  <c:v>0.84845999999999999</c:v>
                </c:pt>
                <c:pt idx="12" formatCode="General">
                  <c:v>1.8620000000000001</c:v>
                </c:pt>
                <c:pt idx="13">
                  <c:v>2.6917224357684515</c:v>
                </c:pt>
                <c:pt idx="14">
                  <c:v>1.0203037935276513</c:v>
                </c:pt>
                <c:pt idx="15">
                  <c:v>0.12970200000000001</c:v>
                </c:pt>
                <c:pt idx="16" formatCode="General">
                  <c:v>1.4730000000000001</c:v>
                </c:pt>
                <c:pt idx="17">
                  <c:v>15.826347265975727</c:v>
                </c:pt>
                <c:pt idx="18">
                  <c:v>13.007199999999999</c:v>
                </c:pt>
                <c:pt idx="19" formatCode="General">
                  <c:v>9.702</c:v>
                </c:pt>
                <c:pt idx="20">
                  <c:v>1.54969</c:v>
                </c:pt>
                <c:pt idx="21">
                  <c:v>1.0488500000000001</c:v>
                </c:pt>
                <c:pt idx="22" formatCode="General">
                  <c:v>1.8480000000000001</c:v>
                </c:pt>
                <c:pt idx="23">
                  <c:v>7.6582421359832109</c:v>
                </c:pt>
                <c:pt idx="24">
                  <c:v>7.53207</c:v>
                </c:pt>
                <c:pt idx="25" formatCode="General">
                  <c:v>4.4210000000000003</c:v>
                </c:pt>
                <c:pt idx="26" formatCode="General">
                  <c:v>1.425</c:v>
                </c:pt>
                <c:pt idx="27">
                  <c:v>19.894904399988331</c:v>
                </c:pt>
                <c:pt idx="28">
                  <c:v>15.9796</c:v>
                </c:pt>
                <c:pt idx="29" formatCode="General">
                  <c:v>8.9990000000000006</c:v>
                </c:pt>
                <c:pt idx="30">
                  <c:v>21.030284120974741</c:v>
                </c:pt>
                <c:pt idx="31">
                  <c:v>18.277899999999999</c:v>
                </c:pt>
                <c:pt idx="32" formatCode="General">
                  <c:v>10.525</c:v>
                </c:pt>
              </c:numCache>
            </c:numRef>
          </c:xVal>
          <c:yVal>
            <c:numRef>
              <c:f>'2013 - 2015 All data'!$T$4:$T$36</c:f>
              <c:numCache>
                <c:formatCode>0.00</c:formatCode>
                <c:ptCount val="33"/>
                <c:pt idx="0">
                  <c:v>1.2256838518982534</c:v>
                </c:pt>
                <c:pt idx="1">
                  <c:v>0</c:v>
                </c:pt>
                <c:pt idx="2">
                  <c:v>0.58830000000000005</c:v>
                </c:pt>
                <c:pt idx="3">
                  <c:v>0.47437609140344811</c:v>
                </c:pt>
                <c:pt idx="4">
                  <c:v>3.0335469301519034</c:v>
                </c:pt>
                <c:pt idx="5">
                  <c:v>1.73377</c:v>
                </c:pt>
                <c:pt idx="6">
                  <c:v>2.3690000000000002</c:v>
                </c:pt>
                <c:pt idx="7">
                  <c:v>3.0057999999999998</c:v>
                </c:pt>
                <c:pt idx="8">
                  <c:v>3.9643325280655914</c:v>
                </c:pt>
                <c:pt idx="9">
                  <c:v>2.7717800000000001</c:v>
                </c:pt>
                <c:pt idx="10">
                  <c:v>0.55636694586113178</c:v>
                </c:pt>
                <c:pt idx="11">
                  <c:v>0</c:v>
                </c:pt>
                <c:pt idx="12">
                  <c:v>0.5181</c:v>
                </c:pt>
                <c:pt idx="13">
                  <c:v>0.60769756858625779</c:v>
                </c:pt>
                <c:pt idx="14">
                  <c:v>0.32467631637472705</c:v>
                </c:pt>
                <c:pt idx="15">
                  <c:v>0</c:v>
                </c:pt>
                <c:pt idx="16">
                  <c:v>0.41570000000000001</c:v>
                </c:pt>
                <c:pt idx="17">
                  <c:v>2.4746781104911828</c:v>
                </c:pt>
                <c:pt idx="18">
                  <c:v>1.17825</c:v>
                </c:pt>
                <c:pt idx="19">
                  <c:v>1.7110000000000001</c:v>
                </c:pt>
                <c:pt idx="20">
                  <c:v>0</c:v>
                </c:pt>
                <c:pt idx="21">
                  <c:v>0</c:v>
                </c:pt>
                <c:pt idx="22">
                  <c:v>0.40989999999999999</c:v>
                </c:pt>
                <c:pt idx="23">
                  <c:v>0.79467869249980483</c:v>
                </c:pt>
                <c:pt idx="24">
                  <c:v>0</c:v>
                </c:pt>
                <c:pt idx="25">
                  <c:v>0.77400000000000002</c:v>
                </c:pt>
                <c:pt idx="26">
                  <c:v>2.1880999999999999</c:v>
                </c:pt>
                <c:pt idx="27">
                  <c:v>3.6662853145275367</c:v>
                </c:pt>
                <c:pt idx="28">
                  <c:v>2.5989599999999999</c:v>
                </c:pt>
                <c:pt idx="29">
                  <c:v>2.718</c:v>
                </c:pt>
                <c:pt idx="30">
                  <c:v>4.8838486549843863</c:v>
                </c:pt>
                <c:pt idx="31">
                  <c:v>2.7003900000000001</c:v>
                </c:pt>
                <c:pt idx="32">
                  <c:v>3.294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27712"/>
        <c:axId val="135033984"/>
      </c:scatterChart>
      <c:valAx>
        <c:axId val="1350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 (ueq/L)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35033984"/>
        <c:crosses val="autoZero"/>
        <c:crossBetween val="midCat"/>
      </c:valAx>
      <c:valAx>
        <c:axId val="135033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 (ueq/L)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5027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'2013 - 2015 All data'!$U$4:$U$36</c:f>
              <c:numCache>
                <c:formatCode>0.000</c:formatCode>
                <c:ptCount val="33"/>
                <c:pt idx="0" formatCode="0.00">
                  <c:v>42.556338028169016</c:v>
                </c:pt>
                <c:pt idx="1">
                  <c:v>0</c:v>
                </c:pt>
                <c:pt idx="2" formatCode="0.00">
                  <c:v>3.0800593031875461</c:v>
                </c:pt>
                <c:pt idx="3" formatCode="0.00">
                  <c:v>8.7913269088213486</c:v>
                </c:pt>
                <c:pt idx="4" formatCode="0.00">
                  <c:v>3.3947368421052633</c:v>
                </c:pt>
                <c:pt idx="5">
                  <c:v>0</c:v>
                </c:pt>
                <c:pt idx="6" formatCode="0.00">
                  <c:v>2.6130467012601928</c:v>
                </c:pt>
                <c:pt idx="7" formatCode="0.00">
                  <c:v>1.4269829503335805</c:v>
                </c:pt>
                <c:pt idx="8" formatCode="0.00">
                  <c:v>1.8206078576723497</c:v>
                </c:pt>
                <c:pt idx="9">
                  <c:v>0</c:v>
                </c:pt>
                <c:pt idx="10" formatCode="0.00">
                  <c:v>1.2961452928094885</c:v>
                </c:pt>
                <c:pt idx="11">
                  <c:v>0</c:v>
                </c:pt>
                <c:pt idx="12" formatCode="0.00">
                  <c:v>1.6234247590808004</c:v>
                </c:pt>
                <c:pt idx="13" formatCode="0.00">
                  <c:v>7.3843587842846548</c:v>
                </c:pt>
                <c:pt idx="14" formatCode="0.00">
                  <c:v>4.1823573017049664</c:v>
                </c:pt>
                <c:pt idx="15">
                  <c:v>8.1767200000000002E-3</c:v>
                </c:pt>
                <c:pt idx="16" formatCode="0.00">
                  <c:v>4.2438843587842845</c:v>
                </c:pt>
                <c:pt idx="17" formatCode="0.00">
                  <c:v>1.5259451445515197</c:v>
                </c:pt>
                <c:pt idx="18">
                  <c:v>0</c:v>
                </c:pt>
                <c:pt idx="19" formatCode="0.00">
                  <c:v>0.95997034840622675</c:v>
                </c:pt>
                <c:pt idx="20" formatCode="_ * #,##0.000_ ;_ * \-#,##0.000_ ;_ * &quot;-&quot;??_ ;_ @_ ">
                  <c:v>0.113709</c:v>
                </c:pt>
                <c:pt idx="21" formatCode="_ * #,##0.000_ ;_ * \-#,##0.000_ ;_ * &quot;-&quot;??_ ;_ @_ ">
                  <c:v>0.230632</c:v>
                </c:pt>
                <c:pt idx="22" formatCode="0.00">
                  <c:v>14.240177909562638</c:v>
                </c:pt>
                <c:pt idx="23" formatCode="0.00">
                  <c:v>7.6189770200148255</c:v>
                </c:pt>
                <c:pt idx="24" formatCode="_ * #,##0.000_ ;_ * \-#,##0.000_ ;_ * &quot;-&quot;??_ ;_ @_ ">
                  <c:v>1.4E-2</c:v>
                </c:pt>
                <c:pt idx="25" formatCode="0.00">
                  <c:v>7.4017790956263898</c:v>
                </c:pt>
                <c:pt idx="26" formatCode="0.00">
                  <c:v>1.2342475908080062</c:v>
                </c:pt>
                <c:pt idx="27" formatCode="0.00">
                  <c:v>7.8914010378057817</c:v>
                </c:pt>
                <c:pt idx="28">
                  <c:v>9.1805500000000009E-3</c:v>
                </c:pt>
                <c:pt idx="29" formatCode="0.00">
                  <c:v>1.3676797627872499</c:v>
                </c:pt>
                <c:pt idx="30" formatCode="0.00">
                  <c:v>5.7679762787249818</c:v>
                </c:pt>
                <c:pt idx="31">
                  <c:v>8.1408499999999998E-3</c:v>
                </c:pt>
                <c:pt idx="32" formatCode="0.00">
                  <c:v>7.0163083765752399</c:v>
                </c:pt>
              </c:numCache>
            </c:numRef>
          </c:xVal>
          <c:yVal>
            <c:numRef>
              <c:f>'2013 - 2015 All data'!$V$4:$V$36</c:f>
              <c:numCache>
                <c:formatCode>0.00</c:formatCode>
                <c:ptCount val="33"/>
                <c:pt idx="0">
                  <c:v>18.229026770525561</c:v>
                </c:pt>
                <c:pt idx="1">
                  <c:v>0</c:v>
                </c:pt>
                <c:pt idx="2">
                  <c:v>1.0243553008595989</c:v>
                </c:pt>
                <c:pt idx="3">
                  <c:v>5.8655206374787356</c:v>
                </c:pt>
                <c:pt idx="4">
                  <c:v>2.7800161160354553</c:v>
                </c:pt>
                <c:pt idx="5">
                  <c:v>0</c:v>
                </c:pt>
                <c:pt idx="6">
                  <c:v>2.1292979942693409</c:v>
                </c:pt>
                <c:pt idx="7">
                  <c:v>0.56590257879656158</c:v>
                </c:pt>
                <c:pt idx="8">
                  <c:v>2.0707314889426089</c:v>
                </c:pt>
                <c:pt idx="9">
                  <c:v>0</c:v>
                </c:pt>
                <c:pt idx="10">
                  <c:v>0.69818246933476591</c:v>
                </c:pt>
                <c:pt idx="11">
                  <c:v>0</c:v>
                </c:pt>
                <c:pt idx="12">
                  <c:v>0.51755014326647564</c:v>
                </c:pt>
                <c:pt idx="13">
                  <c:v>5.2704807950577486</c:v>
                </c:pt>
                <c:pt idx="14">
                  <c:v>1.2609902408451965</c:v>
                </c:pt>
                <c:pt idx="15">
                  <c:v>0</c:v>
                </c:pt>
                <c:pt idx="16">
                  <c:v>0.73244985673352425</c:v>
                </c:pt>
                <c:pt idx="17">
                  <c:v>2.011818426000537</c:v>
                </c:pt>
                <c:pt idx="18">
                  <c:v>0</c:v>
                </c:pt>
                <c:pt idx="19">
                  <c:v>0.45845272206303722</c:v>
                </c:pt>
                <c:pt idx="20">
                  <c:v>0.59635400000000005</c:v>
                </c:pt>
                <c:pt idx="21">
                  <c:v>0.13939699999999999</c:v>
                </c:pt>
                <c:pt idx="22">
                  <c:v>6.6010028653295123</c:v>
                </c:pt>
                <c:pt idx="23">
                  <c:v>8.7200286507296987</c:v>
                </c:pt>
                <c:pt idx="24">
                  <c:v>0.13872200000000001</c:v>
                </c:pt>
                <c:pt idx="25">
                  <c:v>4.3194842406876788</c:v>
                </c:pt>
                <c:pt idx="26">
                  <c:v>0.44054441260744986</c:v>
                </c:pt>
                <c:pt idx="27">
                  <c:v>7.5278001611603544</c:v>
                </c:pt>
                <c:pt idx="28">
                  <c:v>0.194129</c:v>
                </c:pt>
                <c:pt idx="29">
                  <c:v>3.125</c:v>
                </c:pt>
                <c:pt idx="30">
                  <c:v>4.1287492165816095</c:v>
                </c:pt>
                <c:pt idx="31">
                  <c:v>1.54012E-2</c:v>
                </c:pt>
                <c:pt idx="32">
                  <c:v>4.0866762177650422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82112"/>
        <c:axId val="143884288"/>
      </c:scatterChart>
      <c:valAx>
        <c:axId val="1438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 (ug/L)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3884288"/>
        <c:crosses val="autoZero"/>
        <c:crossBetween val="midCat"/>
      </c:valAx>
      <c:valAx>
        <c:axId val="143884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 (ug/L)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43882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'2013 - 2015 All data'!$AW$4:$AW$36</c:f>
              <c:numCache>
                <c:formatCode>0</c:formatCode>
                <c:ptCount val="33"/>
                <c:pt idx="0">
                  <c:v>140.95367723979746</c:v>
                </c:pt>
                <c:pt idx="1">
                  <c:v>95.274303450470228</c:v>
                </c:pt>
                <c:pt idx="2">
                  <c:v>70.088521593686067</c:v>
                </c:pt>
                <c:pt idx="3" formatCode="0.0">
                  <c:v>62.050279145016773</c:v>
                </c:pt>
                <c:pt idx="4">
                  <c:v>370.80521221449959</c:v>
                </c:pt>
                <c:pt idx="5">
                  <c:v>408.94083080047886</c:v>
                </c:pt>
                <c:pt idx="6">
                  <c:v>330.52531380932891</c:v>
                </c:pt>
                <c:pt idx="7">
                  <c:v>406.78405897163742</c:v>
                </c:pt>
                <c:pt idx="8">
                  <c:v>443.39337188307553</c:v>
                </c:pt>
                <c:pt idx="9">
                  <c:v>491.10600886402187</c:v>
                </c:pt>
                <c:pt idx="10">
                  <c:v>177.2117085205779</c:v>
                </c:pt>
                <c:pt idx="11">
                  <c:v>185.48294851499756</c:v>
                </c:pt>
                <c:pt idx="12">
                  <c:v>157.31457183503733</c:v>
                </c:pt>
                <c:pt idx="13" formatCode="0.0">
                  <c:v>98.831544636916732</c:v>
                </c:pt>
                <c:pt idx="14" formatCode="0.0">
                  <c:v>42.876114277136558</c:v>
                </c:pt>
                <c:pt idx="15">
                  <c:v>42.559375099538507</c:v>
                </c:pt>
                <c:pt idx="16">
                  <c:v>36.48013458885567</c:v>
                </c:pt>
                <c:pt idx="17">
                  <c:v>149.72092421819798</c:v>
                </c:pt>
                <c:pt idx="18">
                  <c:v>168.43158996374322</c:v>
                </c:pt>
                <c:pt idx="19">
                  <c:v>152.86881727175142</c:v>
                </c:pt>
                <c:pt idx="20">
                  <c:v>100.10462210786241</c:v>
                </c:pt>
                <c:pt idx="21">
                  <c:v>49.480821892211871</c:v>
                </c:pt>
                <c:pt idx="22">
                  <c:v>55.773810588538126</c:v>
                </c:pt>
                <c:pt idx="23" formatCode="0.0">
                  <c:v>55.571750129536277</c:v>
                </c:pt>
                <c:pt idx="24">
                  <c:v>55.60187943892879</c:v>
                </c:pt>
                <c:pt idx="25">
                  <c:v>59.436735615443951</c:v>
                </c:pt>
                <c:pt idx="26">
                  <c:v>131.62099589917275</c:v>
                </c:pt>
                <c:pt idx="27">
                  <c:v>392.22092432931862</c:v>
                </c:pt>
                <c:pt idx="28">
                  <c:v>369.33701827198752</c:v>
                </c:pt>
                <c:pt idx="29">
                  <c:v>216.62097908431423</c:v>
                </c:pt>
                <c:pt idx="30">
                  <c:v>279.4694203037501</c:v>
                </c:pt>
                <c:pt idx="31">
                  <c:v>332.18261227149611</c:v>
                </c:pt>
                <c:pt idx="32">
                  <c:v>248.57582620458192</c:v>
                </c:pt>
              </c:numCache>
            </c:numRef>
          </c:xVal>
          <c:yVal>
            <c:numRef>
              <c:f>'2013 - 2015 All data'!$AY$4:$AY$36</c:f>
              <c:numCache>
                <c:formatCode>0</c:formatCode>
                <c:ptCount val="33"/>
                <c:pt idx="0">
                  <c:v>466.43887578643898</c:v>
                </c:pt>
                <c:pt idx="1">
                  <c:v>217.88788894383362</c:v>
                </c:pt>
                <c:pt idx="2">
                  <c:v>123.48485939560162</c:v>
                </c:pt>
                <c:pt idx="3" formatCode="0.0">
                  <c:v>74.084981268839016</c:v>
                </c:pt>
                <c:pt idx="4">
                  <c:v>881.5829104718398</c:v>
                </c:pt>
                <c:pt idx="5">
                  <c:v>945.32152930440861</c:v>
                </c:pt>
                <c:pt idx="6">
                  <c:v>669.51847957621862</c:v>
                </c:pt>
                <c:pt idx="7">
                  <c:v>983.98646201666702</c:v>
                </c:pt>
                <c:pt idx="8">
                  <c:v>1182.8447303508256</c:v>
                </c:pt>
                <c:pt idx="9">
                  <c:v>1247.732492612043</c:v>
                </c:pt>
                <c:pt idx="10" formatCode="0.0">
                  <c:v>76.051344573766841</c:v>
                </c:pt>
                <c:pt idx="11">
                  <c:v>81.512896621800195</c:v>
                </c:pt>
                <c:pt idx="12">
                  <c:v>69.382641796524268</c:v>
                </c:pt>
                <c:pt idx="13">
                  <c:v>104.5369364671419</c:v>
                </c:pt>
                <c:pt idx="14" formatCode="0.0">
                  <c:v>45.668162762036026</c:v>
                </c:pt>
                <c:pt idx="15">
                  <c:v>51.583306216027864</c:v>
                </c:pt>
                <c:pt idx="16">
                  <c:v>48.675016258210107</c:v>
                </c:pt>
                <c:pt idx="17">
                  <c:v>374.51644392192884</c:v>
                </c:pt>
                <c:pt idx="18">
                  <c:v>407.19831325594726</c:v>
                </c:pt>
                <c:pt idx="19">
                  <c:v>336.93750469142407</c:v>
                </c:pt>
                <c:pt idx="20">
                  <c:v>95.127004575057242</c:v>
                </c:pt>
                <c:pt idx="21">
                  <c:v>89.938726490472519</c:v>
                </c:pt>
                <c:pt idx="22">
                  <c:v>66.784560978286862</c:v>
                </c:pt>
                <c:pt idx="23">
                  <c:v>309.12904511492502</c:v>
                </c:pt>
                <c:pt idx="24">
                  <c:v>374.0111189074662</c:v>
                </c:pt>
                <c:pt idx="25">
                  <c:v>178.11220590938063</c:v>
                </c:pt>
                <c:pt idx="26">
                  <c:v>17.645788167612437</c:v>
                </c:pt>
                <c:pt idx="27">
                  <c:v>709.07492764518429</c:v>
                </c:pt>
                <c:pt idx="28">
                  <c:v>586.70436538593685</c:v>
                </c:pt>
                <c:pt idx="29">
                  <c:v>429.55169537215397</c:v>
                </c:pt>
                <c:pt idx="30">
                  <c:v>983.78169547252264</c:v>
                </c:pt>
                <c:pt idx="31">
                  <c:v>927.96246277068872</c:v>
                </c:pt>
                <c:pt idx="32">
                  <c:v>611.53898799240415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13728"/>
        <c:axId val="143915648"/>
      </c:scatterChart>
      <c:valAx>
        <c:axId val="14391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SO4 (ueq/L)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3915648"/>
        <c:crosses val="autoZero"/>
        <c:crossBetween val="midCat"/>
      </c:valAx>
      <c:valAx>
        <c:axId val="143915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Cl (ueq/L)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43913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4"/>
            <c:bubble3D val="0"/>
          </c:dPt>
          <c:trendline>
            <c:trendlineType val="linear"/>
            <c:dispRSqr val="1"/>
            <c:dispEq val="1"/>
            <c:trendlineLbl>
              <c:layout>
                <c:manualLayout>
                  <c:x val="-4.2948562334198907E-2"/>
                  <c:y val="-0.64465441819772529"/>
                </c:manualLayout>
              </c:layout>
              <c:numFmt formatCode="General" sourceLinked="0"/>
            </c:trendlineLbl>
          </c:trendline>
          <c:xVal>
            <c:numRef>
              <c:f>'2015 Data'!$L$4:$L$14</c:f>
              <c:numCache>
                <c:formatCode>0</c:formatCode>
                <c:ptCount val="11"/>
                <c:pt idx="0" formatCode="General">
                  <c:v>49.3</c:v>
                </c:pt>
                <c:pt idx="1">
                  <c:v>164.2</c:v>
                </c:pt>
                <c:pt idx="2" formatCode="General">
                  <c:v>236</c:v>
                </c:pt>
                <c:pt idx="3" formatCode="General">
                  <c:v>216</c:v>
                </c:pt>
                <c:pt idx="4" formatCode="General">
                  <c:v>22.4</c:v>
                </c:pt>
                <c:pt idx="5" formatCode="General">
                  <c:v>45.2</c:v>
                </c:pt>
                <c:pt idx="6" formatCode="General">
                  <c:v>228</c:v>
                </c:pt>
                <c:pt idx="7" formatCode="General">
                  <c:v>200</c:v>
                </c:pt>
                <c:pt idx="8" formatCode="General">
                  <c:v>207</c:v>
                </c:pt>
                <c:pt idx="9" formatCode="General">
                  <c:v>51.9</c:v>
                </c:pt>
                <c:pt idx="10" formatCode="General">
                  <c:v>31.5</c:v>
                </c:pt>
              </c:numCache>
            </c:numRef>
          </c:xVal>
          <c:yVal>
            <c:numRef>
              <c:f>'2015 Data'!$BJ$4:$BJ$14</c:f>
              <c:numCache>
                <c:formatCode>0.0E+00</c:formatCode>
                <c:ptCount val="11"/>
                <c:pt idx="0">
                  <c:v>3.4763020338724853E-4</c:v>
                </c:pt>
                <c:pt idx="1">
                  <c:v>8.2497698775758563E-4</c:v>
                </c:pt>
                <c:pt idx="2">
                  <c:v>1.8105008354856258E-3</c:v>
                </c:pt>
                <c:pt idx="3">
                  <c:v>1.1904433187044778E-3</c:v>
                </c:pt>
                <c:pt idx="4">
                  <c:v>1.6140024275500251E-4</c:v>
                </c:pt>
                <c:pt idx="5">
                  <c:v>3.1066267436439203E-4</c:v>
                </c:pt>
                <c:pt idx="6">
                  <c:v>1.3328830819055513E-3</c:v>
                </c:pt>
                <c:pt idx="7">
                  <c:v>1.3621617735775839E-3</c:v>
                </c:pt>
                <c:pt idx="8">
                  <c:v>1.3065924361485449E-3</c:v>
                </c:pt>
                <c:pt idx="9">
                  <c:v>3.5747271695909513E-4</c:v>
                </c:pt>
                <c:pt idx="10">
                  <c:v>2.1473157266121528E-4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17728"/>
        <c:axId val="134624000"/>
      </c:scatterChart>
      <c:valAx>
        <c:axId val="13461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(µS/cm)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624000"/>
        <c:crosses val="autoZero"/>
        <c:crossBetween val="midCat"/>
      </c:valAx>
      <c:valAx>
        <c:axId val="134624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Ionic strength (µeq/L)</a:t>
                </a:r>
              </a:p>
            </c:rich>
          </c:tx>
          <c:layout/>
          <c:overlay val="0"/>
        </c:title>
        <c:numFmt formatCode="0.0E+00" sourceLinked="1"/>
        <c:majorTickMark val="out"/>
        <c:minorTickMark val="none"/>
        <c:tickLblPos val="nextTo"/>
        <c:crossAx val="134617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197117599249142E-2"/>
                  <c:y val="0.30971055701370664"/>
                </c:manualLayout>
              </c:layout>
              <c:numFmt formatCode="General" sourceLinked="0"/>
            </c:trendlineLbl>
          </c:trendline>
          <c:xVal>
            <c:numRef>
              <c:f>'2015 Data'!$N$4:$N$14</c:f>
              <c:numCache>
                <c:formatCode>General</c:formatCode>
                <c:ptCount val="11"/>
                <c:pt idx="0">
                  <c:v>3.5999999999999997E-2</c:v>
                </c:pt>
                <c:pt idx="1">
                  <c:v>2E-3</c:v>
                </c:pt>
                <c:pt idx="2">
                  <c:v>0.153</c:v>
                </c:pt>
                <c:pt idx="3">
                  <c:v>0.188</c:v>
                </c:pt>
                <c:pt idx="4">
                  <c:v>0.193</c:v>
                </c:pt>
                <c:pt idx="5">
                  <c:v>0.189</c:v>
                </c:pt>
                <c:pt idx="6">
                  <c:v>0.17899999999999999</c:v>
                </c:pt>
                <c:pt idx="7">
                  <c:v>0.30299999999999999</c:v>
                </c:pt>
                <c:pt idx="8">
                  <c:v>0.34499999999999997</c:v>
                </c:pt>
                <c:pt idx="9">
                  <c:v>0.52700000000000002</c:v>
                </c:pt>
                <c:pt idx="10">
                  <c:v>0.82799999999999996</c:v>
                </c:pt>
              </c:numCache>
            </c:numRef>
          </c:xVal>
          <c:yVal>
            <c:numRef>
              <c:f>'2015 Data'!$O$4:$O$14</c:f>
              <c:numCache>
                <c:formatCode>0.000</c:formatCode>
                <c:ptCount val="11"/>
                <c:pt idx="0" formatCode="General">
                  <c:v>2E-3</c:v>
                </c:pt>
                <c:pt idx="1">
                  <c:v>5.0000000000000001E-4</c:v>
                </c:pt>
                <c:pt idx="2" formatCode="General">
                  <c:v>1.2E-2</c:v>
                </c:pt>
                <c:pt idx="3" formatCode="General">
                  <c:v>1.2E-2</c:v>
                </c:pt>
                <c:pt idx="4" formatCode="General">
                  <c:v>1.9E-2</c:v>
                </c:pt>
                <c:pt idx="5" formatCode="General">
                  <c:v>1.9E-2</c:v>
                </c:pt>
                <c:pt idx="6" formatCode="General">
                  <c:v>1.7999999999999999E-2</c:v>
                </c:pt>
                <c:pt idx="7" formatCode="General">
                  <c:v>3.1E-2</c:v>
                </c:pt>
                <c:pt idx="8" formatCode="General">
                  <c:v>3.9E-2</c:v>
                </c:pt>
                <c:pt idx="9" formatCode="General">
                  <c:v>6.4000000000000001E-2</c:v>
                </c:pt>
                <c:pt idx="10" formatCode="General">
                  <c:v>0.114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61248"/>
        <c:axId val="134663168"/>
      </c:scatterChart>
      <c:valAx>
        <c:axId val="13466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λ254</a:t>
                </a: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663168"/>
        <c:crosses val="autoZero"/>
        <c:crossBetween val="midCat"/>
      </c:valAx>
      <c:valAx>
        <c:axId val="13466316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λ400</a:t>
                </a: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661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4448264543972117E-2"/>
                  <c:y val="0.35560657190578449"/>
                </c:manualLayout>
              </c:layout>
              <c:numFmt formatCode="General" sourceLinked="0"/>
            </c:trendlineLbl>
          </c:trendline>
          <c:xVal>
            <c:numRef>
              <c:f>'2015 Data'!$N$4:$N$14</c:f>
              <c:numCache>
                <c:formatCode>General</c:formatCode>
                <c:ptCount val="11"/>
                <c:pt idx="0">
                  <c:v>3.5999999999999997E-2</c:v>
                </c:pt>
                <c:pt idx="1">
                  <c:v>2E-3</c:v>
                </c:pt>
                <c:pt idx="2">
                  <c:v>0.153</c:v>
                </c:pt>
                <c:pt idx="3">
                  <c:v>0.188</c:v>
                </c:pt>
                <c:pt idx="4">
                  <c:v>0.193</c:v>
                </c:pt>
                <c:pt idx="5">
                  <c:v>0.189</c:v>
                </c:pt>
                <c:pt idx="6">
                  <c:v>0.17899999999999999</c:v>
                </c:pt>
                <c:pt idx="7">
                  <c:v>0.30299999999999999</c:v>
                </c:pt>
                <c:pt idx="8">
                  <c:v>0.34499999999999997</c:v>
                </c:pt>
                <c:pt idx="9">
                  <c:v>0.52700000000000002</c:v>
                </c:pt>
                <c:pt idx="10">
                  <c:v>0.82799999999999996</c:v>
                </c:pt>
              </c:numCache>
            </c:numRef>
          </c:xVal>
          <c:yVal>
            <c:numRef>
              <c:f>'2015 Data'!$Q$4:$Q$14</c:f>
              <c:numCache>
                <c:formatCode>0.00</c:formatCode>
                <c:ptCount val="11"/>
                <c:pt idx="0">
                  <c:v>2.2309999999999999</c:v>
                </c:pt>
                <c:pt idx="1">
                  <c:v>1.71</c:v>
                </c:pt>
                <c:pt idx="2">
                  <c:v>6.1820000000000004</c:v>
                </c:pt>
                <c:pt idx="3">
                  <c:v>8.85</c:v>
                </c:pt>
                <c:pt idx="4">
                  <c:v>5.47</c:v>
                </c:pt>
                <c:pt idx="5">
                  <c:v>5.6130000000000004</c:v>
                </c:pt>
                <c:pt idx="6">
                  <c:v>5.96</c:v>
                </c:pt>
                <c:pt idx="7">
                  <c:v>8.9909999999999997</c:v>
                </c:pt>
                <c:pt idx="8">
                  <c:v>9.44</c:v>
                </c:pt>
                <c:pt idx="9">
                  <c:v>13.27</c:v>
                </c:pt>
                <c:pt idx="10">
                  <c:v>18.75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71744"/>
        <c:axId val="134489600"/>
      </c:scatterChart>
      <c:valAx>
        <c:axId val="1346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 i="0" baseline="0">
                    <a:effectLst/>
                  </a:rPr>
                  <a:t>Abs. @ </a:t>
                </a:r>
                <a:r>
                  <a:rPr lang="el-GR" sz="1100" b="1" i="0" baseline="0">
                    <a:effectLst/>
                  </a:rPr>
                  <a:t>λ</a:t>
                </a:r>
                <a:r>
                  <a:rPr lang="nb-NO" sz="1100" b="1" i="0" baseline="0">
                    <a:effectLst/>
                  </a:rPr>
                  <a:t>254</a:t>
                </a:r>
                <a:r>
                  <a:rPr lang="en-US" sz="1100" b="1" i="0" baseline="0">
                    <a:effectLst/>
                  </a:rPr>
                  <a:t>nm</a:t>
                </a:r>
                <a:endParaRPr lang="en-GB" sz="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489600"/>
        <c:crosses val="autoZero"/>
        <c:crossBetween val="midCat"/>
      </c:valAx>
      <c:valAx>
        <c:axId val="134489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DOC (mg/L)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4671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'2015 Data'!$AV$4:$AV$14</c:f>
              <c:numCache>
                <c:formatCode>0.0</c:formatCode>
                <c:ptCount val="11"/>
                <c:pt idx="0">
                  <c:v>275.81216627576225</c:v>
                </c:pt>
                <c:pt idx="1">
                  <c:v>1193.6723389390688</c:v>
                </c:pt>
                <c:pt idx="2">
                  <c:v>1045.8106691950695</c:v>
                </c:pt>
                <c:pt idx="3">
                  <c:v>1133.9887219921152</c:v>
                </c:pt>
                <c:pt idx="4">
                  <c:v>107.49039373222216</c:v>
                </c:pt>
                <c:pt idx="5">
                  <c:v>204.55112530565398</c:v>
                </c:pt>
                <c:pt idx="6">
                  <c:v>1206.0981086880581</c:v>
                </c:pt>
                <c:pt idx="7">
                  <c:v>813.81306452417778</c:v>
                </c:pt>
                <c:pt idx="8">
                  <c:v>827.28679075802177</c:v>
                </c:pt>
                <c:pt idx="9">
                  <c:v>185.93742202704723</c:v>
                </c:pt>
                <c:pt idx="10">
                  <c:v>153.15135485802682</c:v>
                </c:pt>
              </c:numCache>
            </c:numRef>
          </c:xVal>
          <c:yVal>
            <c:numRef>
              <c:f>'2015 Data'!$AW$4:$AW$14</c:f>
              <c:numCache>
                <c:formatCode>0.0</c:formatCode>
                <c:ptCount val="11"/>
                <c:pt idx="0">
                  <c:v>92.300098716683124</c:v>
                </c:pt>
                <c:pt idx="1">
                  <c:v>182.13228035538003</c:v>
                </c:pt>
                <c:pt idx="2">
                  <c:v>238.9766370516617</c:v>
                </c:pt>
                <c:pt idx="3">
                  <c:v>287.5123395853899</c:v>
                </c:pt>
                <c:pt idx="4">
                  <c:v>43.279039157617639</c:v>
                </c:pt>
                <c:pt idx="5">
                  <c:v>65.391576176373817</c:v>
                </c:pt>
                <c:pt idx="6">
                  <c:v>319.84205330700888</c:v>
                </c:pt>
                <c:pt idx="7">
                  <c:v>217.58802237578152</c:v>
                </c:pt>
                <c:pt idx="8">
                  <c:v>261.92826587693321</c:v>
                </c:pt>
                <c:pt idx="9">
                  <c:v>69.151036525172756</c:v>
                </c:pt>
                <c:pt idx="10">
                  <c:v>54.647910496873969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22752"/>
        <c:axId val="134537216"/>
      </c:scatterChart>
      <c:valAx>
        <c:axId val="13452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4537216"/>
        <c:crosses val="autoZero"/>
        <c:crossBetween val="midCat"/>
      </c:valAx>
      <c:valAx>
        <c:axId val="134537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4522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'2015 Data'!$AX$4:$AX$14</c:f>
              <c:numCache>
                <c:formatCode>0.0</c:formatCode>
                <c:ptCount val="11"/>
                <c:pt idx="0">
                  <c:v>80.991735537190095</c:v>
                </c:pt>
                <c:pt idx="1">
                  <c:v>61.983471074380176</c:v>
                </c:pt>
                <c:pt idx="2">
                  <c:v>860.46107003044801</c:v>
                </c:pt>
                <c:pt idx="3">
                  <c:v>422.00956937799043</c:v>
                </c:pt>
                <c:pt idx="4">
                  <c:v>64.071335363201413</c:v>
                </c:pt>
                <c:pt idx="5">
                  <c:v>128.01217920835148</c:v>
                </c:pt>
                <c:pt idx="6">
                  <c:v>391.43105698129625</c:v>
                </c:pt>
                <c:pt idx="7">
                  <c:v>564.46280991735546</c:v>
                </c:pt>
                <c:pt idx="8">
                  <c:v>457.80774249673777</c:v>
                </c:pt>
                <c:pt idx="9">
                  <c:v>192.30100043497174</c:v>
                </c:pt>
                <c:pt idx="10">
                  <c:v>80.382775119617236</c:v>
                </c:pt>
              </c:numCache>
            </c:numRef>
          </c:xVal>
          <c:yVal>
            <c:numRef>
              <c:f>'2015 Data'!$AY$4:$AY$14</c:f>
              <c:numCache>
                <c:formatCode>0.0</c:formatCode>
                <c:ptCount val="11"/>
                <c:pt idx="0">
                  <c:v>13.249961638790856</c:v>
                </c:pt>
                <c:pt idx="1">
                  <c:v>55.958774487238507</c:v>
                </c:pt>
                <c:pt idx="2">
                  <c:v>76.870748299319729</c:v>
                </c:pt>
                <c:pt idx="3">
                  <c:v>43.757352565086194</c:v>
                </c:pt>
                <c:pt idx="4">
                  <c:v>10.631169761137539</c:v>
                </c:pt>
                <c:pt idx="5">
                  <c:v>15.045266226791471</c:v>
                </c:pt>
                <c:pt idx="6">
                  <c:v>69.51051097130582</c:v>
                </c:pt>
                <c:pt idx="7">
                  <c:v>60.585136310163172</c:v>
                </c:pt>
                <c:pt idx="8">
                  <c:v>84.241215283105731</c:v>
                </c:pt>
                <c:pt idx="9">
                  <c:v>19.794383918981129</c:v>
                </c:pt>
                <c:pt idx="10">
                  <c:v>10.482839752442331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93632"/>
        <c:axId val="134695552"/>
      </c:scatterChart>
      <c:valAx>
        <c:axId val="13469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4695552"/>
        <c:crosses val="autoZero"/>
        <c:crossBetween val="midCat"/>
      </c:valAx>
      <c:valAx>
        <c:axId val="1346955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 (ueq/L)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469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68848817605553"/>
          <c:y val="5.1400554097404488E-2"/>
          <c:w val="0.78629438100099514"/>
          <c:h val="0.734448089822105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'2015 Data'!$X$4:$X$14</c:f>
              <c:numCache>
                <c:formatCode>General</c:formatCode>
                <c:ptCount val="11"/>
                <c:pt idx="0">
                  <c:v>43.8</c:v>
                </c:pt>
                <c:pt idx="1">
                  <c:v>33.300000000000004</c:v>
                </c:pt>
                <c:pt idx="2">
                  <c:v>38.5</c:v>
                </c:pt>
                <c:pt idx="3">
                  <c:v>25.9</c:v>
                </c:pt>
                <c:pt idx="4" formatCode="0">
                  <c:v>114.5</c:v>
                </c:pt>
                <c:pt idx="5">
                  <c:v>83.1</c:v>
                </c:pt>
                <c:pt idx="6">
                  <c:v>36.900000000000006</c:v>
                </c:pt>
                <c:pt idx="7">
                  <c:v>70.5</c:v>
                </c:pt>
                <c:pt idx="8" formatCode="0">
                  <c:v>189.29999999999998</c:v>
                </c:pt>
                <c:pt idx="9" formatCode="0">
                  <c:v>199.7</c:v>
                </c:pt>
                <c:pt idx="10" formatCode="0">
                  <c:v>384.2</c:v>
                </c:pt>
              </c:numCache>
            </c:numRef>
          </c:xVal>
          <c:yVal>
            <c:numRef>
              <c:f>'2015 Data'!$Y$4:$Y$14</c:f>
              <c:numCache>
                <c:formatCode>General</c:formatCode>
                <c:ptCount val="11"/>
                <c:pt idx="0">
                  <c:v>28.9</c:v>
                </c:pt>
                <c:pt idx="1">
                  <c:v>24.6</c:v>
                </c:pt>
                <c:pt idx="2">
                  <c:v>31.6</c:v>
                </c:pt>
                <c:pt idx="3">
                  <c:v>25.6</c:v>
                </c:pt>
                <c:pt idx="4">
                  <c:v>40.9</c:v>
                </c:pt>
                <c:pt idx="5">
                  <c:v>57.2</c:v>
                </c:pt>
                <c:pt idx="6" formatCode="0">
                  <c:v>174.5</c:v>
                </c:pt>
                <c:pt idx="7" formatCode="0">
                  <c:v>118.9</c:v>
                </c:pt>
                <c:pt idx="8" formatCode="0">
                  <c:v>228.2</c:v>
                </c:pt>
                <c:pt idx="9" formatCode="0">
                  <c:v>241.2</c:v>
                </c:pt>
                <c:pt idx="10" formatCode="0">
                  <c:v>368.59999999999997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16416"/>
        <c:axId val="134734976"/>
      </c:scatterChart>
      <c:valAx>
        <c:axId val="1347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 (ug/L)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34734976"/>
        <c:crosses val="autoZero"/>
        <c:crossBetween val="midCat"/>
      </c:valAx>
      <c:valAx>
        <c:axId val="134734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 (ug/L)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716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147636</xdr:colOff>
      <xdr:row>54</xdr:row>
      <xdr:rowOff>147637</xdr:rowOff>
    </xdr:from>
    <xdr:to>
      <xdr:col>54</xdr:col>
      <xdr:colOff>56029</xdr:colOff>
      <xdr:row>83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157368</xdr:colOff>
      <xdr:row>83</xdr:row>
      <xdr:rowOff>157369</xdr:rowOff>
    </xdr:from>
    <xdr:to>
      <xdr:col>54</xdr:col>
      <xdr:colOff>33129</xdr:colOff>
      <xdr:row>112</xdr:row>
      <xdr:rowOff>38307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56030</xdr:colOff>
      <xdr:row>17</xdr:row>
      <xdr:rowOff>19878</xdr:rowOff>
    </xdr:from>
    <xdr:to>
      <xdr:col>10</xdr:col>
      <xdr:colOff>575642</xdr:colOff>
      <xdr:row>31</xdr:row>
      <xdr:rowOff>96078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617167</xdr:colOff>
      <xdr:row>25</xdr:row>
      <xdr:rowOff>141822</xdr:rowOff>
    </xdr:from>
    <xdr:ext cx="1025858" cy="264560"/>
    <xdr:sp macro="" textlink="">
      <xdr:nvSpPr>
        <xdr:cNvPr id="5" name="TextBox 4"/>
        <xdr:cNvSpPr txBox="1"/>
      </xdr:nvSpPr>
      <xdr:spPr>
        <a:xfrm>
          <a:off x="7508785" y="4612969"/>
          <a:ext cx="10258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Elv nedstrøms</a:t>
          </a:r>
        </a:p>
      </xdr:txBody>
    </xdr:sp>
    <xdr:clientData/>
  </xdr:oneCellAnchor>
  <xdr:oneCellAnchor>
    <xdr:from>
      <xdr:col>8</xdr:col>
      <xdr:colOff>1348203</xdr:colOff>
      <xdr:row>18</xdr:row>
      <xdr:rowOff>14031</xdr:rowOff>
    </xdr:from>
    <xdr:ext cx="541495" cy="264560"/>
    <xdr:sp macro="" textlink="">
      <xdr:nvSpPr>
        <xdr:cNvPr id="6" name="TextBox 5"/>
        <xdr:cNvSpPr txBox="1"/>
      </xdr:nvSpPr>
      <xdr:spPr>
        <a:xfrm>
          <a:off x="8239821" y="3151678"/>
          <a:ext cx="541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Eutrof</a:t>
          </a:r>
        </a:p>
      </xdr:txBody>
    </xdr:sp>
    <xdr:clientData/>
  </xdr:oneCellAnchor>
  <xdr:oneCellAnchor>
    <xdr:from>
      <xdr:col>9</xdr:col>
      <xdr:colOff>202147</xdr:colOff>
      <xdr:row>17</xdr:row>
      <xdr:rowOff>70128</xdr:rowOff>
    </xdr:from>
    <xdr:ext cx="931537" cy="264560"/>
    <xdr:sp macro="" textlink="">
      <xdr:nvSpPr>
        <xdr:cNvPr id="7" name="TextBox 6"/>
        <xdr:cNvSpPr txBox="1"/>
      </xdr:nvSpPr>
      <xdr:spPr>
        <a:xfrm>
          <a:off x="8909118" y="3017275"/>
          <a:ext cx="9315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Nesøytjernet</a:t>
          </a:r>
        </a:p>
      </xdr:txBody>
    </xdr:sp>
    <xdr:clientData/>
  </xdr:oneCellAnchor>
  <xdr:oneCellAnchor>
    <xdr:from>
      <xdr:col>7</xdr:col>
      <xdr:colOff>1410934</xdr:colOff>
      <xdr:row>25</xdr:row>
      <xdr:rowOff>105315</xdr:rowOff>
    </xdr:from>
    <xdr:ext cx="604333" cy="264560"/>
    <xdr:sp macro="" textlink="">
      <xdr:nvSpPr>
        <xdr:cNvPr id="8" name="TextBox 7"/>
        <xdr:cNvSpPr txBox="1"/>
      </xdr:nvSpPr>
      <xdr:spPr>
        <a:xfrm>
          <a:off x="6487199" y="4576462"/>
          <a:ext cx="6043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Dystrof</a:t>
          </a:r>
        </a:p>
      </xdr:txBody>
    </xdr:sp>
    <xdr:clientData/>
  </xdr:oneCellAnchor>
  <xdr:twoCellAnchor>
    <xdr:from>
      <xdr:col>5</xdr:col>
      <xdr:colOff>56030</xdr:colOff>
      <xdr:row>32</xdr:row>
      <xdr:rowOff>16565</xdr:rowOff>
    </xdr:from>
    <xdr:to>
      <xdr:col>10</xdr:col>
      <xdr:colOff>604631</xdr:colOff>
      <xdr:row>46</xdr:row>
      <xdr:rowOff>92765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7551</xdr:colOff>
      <xdr:row>16</xdr:row>
      <xdr:rowOff>187477</xdr:rowOff>
    </xdr:from>
    <xdr:to>
      <xdr:col>15</xdr:col>
      <xdr:colOff>997323</xdr:colOff>
      <xdr:row>31</xdr:row>
      <xdr:rowOff>73177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56030</xdr:colOff>
      <xdr:row>32</xdr:row>
      <xdr:rowOff>39465</xdr:rowOff>
    </xdr:from>
    <xdr:to>
      <xdr:col>16</xdr:col>
      <xdr:colOff>22413</xdr:colOff>
      <xdr:row>47</xdr:row>
      <xdr:rowOff>115665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239933</xdr:colOff>
      <xdr:row>17</xdr:row>
      <xdr:rowOff>69573</xdr:rowOff>
    </xdr:from>
    <xdr:to>
      <xdr:col>21</xdr:col>
      <xdr:colOff>466974</xdr:colOff>
      <xdr:row>31</xdr:row>
      <xdr:rowOff>145773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194381</xdr:colOff>
      <xdr:row>32</xdr:row>
      <xdr:rowOff>66261</xdr:rowOff>
    </xdr:from>
    <xdr:to>
      <xdr:col>21</xdr:col>
      <xdr:colOff>421422</xdr:colOff>
      <xdr:row>46</xdr:row>
      <xdr:rowOff>142461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472092</xdr:colOff>
      <xdr:row>62</xdr:row>
      <xdr:rowOff>54567</xdr:rowOff>
    </xdr:from>
    <xdr:to>
      <xdr:col>25</xdr:col>
      <xdr:colOff>906198</xdr:colOff>
      <xdr:row>77</xdr:row>
      <xdr:rowOff>130767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521634</xdr:colOff>
      <xdr:row>17</xdr:row>
      <xdr:rowOff>82363</xdr:rowOff>
    </xdr:from>
    <xdr:to>
      <xdr:col>25</xdr:col>
      <xdr:colOff>928408</xdr:colOff>
      <xdr:row>31</xdr:row>
      <xdr:rowOff>158563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529478</xdr:colOff>
      <xdr:row>32</xdr:row>
      <xdr:rowOff>105896</xdr:rowOff>
    </xdr:from>
    <xdr:to>
      <xdr:col>25</xdr:col>
      <xdr:colOff>936252</xdr:colOff>
      <xdr:row>46</xdr:row>
      <xdr:rowOff>182096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529478</xdr:colOff>
      <xdr:row>47</xdr:row>
      <xdr:rowOff>20731</xdr:rowOff>
    </xdr:from>
    <xdr:to>
      <xdr:col>25</xdr:col>
      <xdr:colOff>936252</xdr:colOff>
      <xdr:row>61</xdr:row>
      <xdr:rowOff>96931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28575</xdr:colOff>
      <xdr:row>17</xdr:row>
      <xdr:rowOff>75640</xdr:rowOff>
    </xdr:from>
    <xdr:to>
      <xdr:col>36</xdr:col>
      <xdr:colOff>645458</xdr:colOff>
      <xdr:row>31</xdr:row>
      <xdr:rowOff>151840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72278</xdr:colOff>
      <xdr:row>16</xdr:row>
      <xdr:rowOff>142876</xdr:rowOff>
    </xdr:from>
    <xdr:to>
      <xdr:col>34</xdr:col>
      <xdr:colOff>134470</xdr:colOff>
      <xdr:row>20</xdr:row>
      <xdr:rowOff>11206</xdr:rowOff>
    </xdr:to>
    <xdr:sp macro="" textlink="">
      <xdr:nvSpPr>
        <xdr:cNvPr id="35" name="TextBox 34"/>
        <xdr:cNvSpPr txBox="1"/>
      </xdr:nvSpPr>
      <xdr:spPr>
        <a:xfrm>
          <a:off x="27235337" y="3000376"/>
          <a:ext cx="1877545" cy="630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Both are mobile anions .</a:t>
          </a:r>
        </a:p>
        <a:p>
          <a:r>
            <a:rPr lang="en-GB" sz="1100"/>
            <a:t>Indication</a:t>
          </a:r>
          <a:r>
            <a:rPr lang="en-GB" sz="1100" baseline="0"/>
            <a:t> of dilution/evapotranspiration </a:t>
          </a:r>
          <a:endParaRPr lang="en-GB" sz="1100"/>
        </a:p>
      </xdr:txBody>
    </xdr:sp>
    <xdr:clientData/>
  </xdr:twoCellAnchor>
  <xdr:twoCellAnchor>
    <xdr:from>
      <xdr:col>36</xdr:col>
      <xdr:colOff>1016372</xdr:colOff>
      <xdr:row>17</xdr:row>
      <xdr:rowOff>62193</xdr:rowOff>
    </xdr:from>
    <xdr:to>
      <xdr:col>42</xdr:col>
      <xdr:colOff>551888</xdr:colOff>
      <xdr:row>31</xdr:row>
      <xdr:rowOff>138393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15</xdr:col>
      <xdr:colOff>1019736</xdr:colOff>
      <xdr:row>77</xdr:row>
      <xdr:rowOff>76200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78</xdr:row>
      <xdr:rowOff>0</xdr:rowOff>
    </xdr:from>
    <xdr:to>
      <xdr:col>15</xdr:col>
      <xdr:colOff>1019736</xdr:colOff>
      <xdr:row>92</xdr:row>
      <xdr:rowOff>76200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112059</xdr:colOff>
      <xdr:row>63</xdr:row>
      <xdr:rowOff>0</xdr:rowOff>
    </xdr:from>
    <xdr:to>
      <xdr:col>10</xdr:col>
      <xdr:colOff>717177</xdr:colOff>
      <xdr:row>77</xdr:row>
      <xdr:rowOff>76200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78442</xdr:colOff>
      <xdr:row>48</xdr:row>
      <xdr:rowOff>0</xdr:rowOff>
    </xdr:from>
    <xdr:to>
      <xdr:col>10</xdr:col>
      <xdr:colOff>694765</xdr:colOff>
      <xdr:row>62</xdr:row>
      <xdr:rowOff>76200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89646</xdr:colOff>
      <xdr:row>32</xdr:row>
      <xdr:rowOff>156883</xdr:rowOff>
    </xdr:from>
    <xdr:to>
      <xdr:col>36</xdr:col>
      <xdr:colOff>706529</xdr:colOff>
      <xdr:row>47</xdr:row>
      <xdr:rowOff>42583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36</xdr:col>
      <xdr:colOff>1019735</xdr:colOff>
      <xdr:row>32</xdr:row>
      <xdr:rowOff>134470</xdr:rowOff>
    </xdr:from>
    <xdr:to>
      <xdr:col>42</xdr:col>
      <xdr:colOff>555251</xdr:colOff>
      <xdr:row>47</xdr:row>
      <xdr:rowOff>20170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36</xdr:col>
      <xdr:colOff>1019735</xdr:colOff>
      <xdr:row>47</xdr:row>
      <xdr:rowOff>134470</xdr:rowOff>
    </xdr:from>
    <xdr:to>
      <xdr:col>42</xdr:col>
      <xdr:colOff>555251</xdr:colOff>
      <xdr:row>62</xdr:row>
      <xdr:rowOff>8964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87</xdr:col>
      <xdr:colOff>268942</xdr:colOff>
      <xdr:row>0</xdr:row>
      <xdr:rowOff>197223</xdr:rowOff>
    </xdr:from>
    <xdr:to>
      <xdr:col>95</xdr:col>
      <xdr:colOff>89646</xdr:colOff>
      <xdr:row>16</xdr:row>
      <xdr:rowOff>82923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oneCellAnchor>
    <xdr:from>
      <xdr:col>7</xdr:col>
      <xdr:colOff>1288677</xdr:colOff>
      <xdr:row>52</xdr:row>
      <xdr:rowOff>0</xdr:rowOff>
    </xdr:from>
    <xdr:ext cx="1919885" cy="264560"/>
    <xdr:sp macro="" textlink="">
      <xdr:nvSpPr>
        <xdr:cNvPr id="57" name="TextBox 56"/>
        <xdr:cNvSpPr txBox="1"/>
      </xdr:nvSpPr>
      <xdr:spPr>
        <a:xfrm>
          <a:off x="6364942" y="9614647"/>
          <a:ext cx="19198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According to visual perseption</a:t>
          </a:r>
        </a:p>
      </xdr:txBody>
    </xdr:sp>
    <xdr:clientData/>
  </xdr:oneCellAnchor>
  <xdr:oneCellAnchor>
    <xdr:from>
      <xdr:col>8</xdr:col>
      <xdr:colOff>1467970</xdr:colOff>
      <xdr:row>63</xdr:row>
      <xdr:rowOff>89647</xdr:rowOff>
    </xdr:from>
    <xdr:ext cx="801566" cy="264560"/>
    <xdr:sp macro="" textlink="">
      <xdr:nvSpPr>
        <xdr:cNvPr id="58" name="TextBox 57"/>
        <xdr:cNvSpPr txBox="1"/>
      </xdr:nvSpPr>
      <xdr:spPr>
        <a:xfrm>
          <a:off x="8359588" y="11799794"/>
          <a:ext cx="8015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Dystrophic</a:t>
          </a:r>
        </a:p>
      </xdr:txBody>
    </xdr:sp>
    <xdr:clientData/>
  </xdr:oneCellAnchor>
  <xdr:oneCellAnchor>
    <xdr:from>
      <xdr:col>14</xdr:col>
      <xdr:colOff>627528</xdr:colOff>
      <xdr:row>63</xdr:row>
      <xdr:rowOff>33618</xdr:rowOff>
    </xdr:from>
    <xdr:ext cx="1163395" cy="264560"/>
    <xdr:sp macro="" textlink="">
      <xdr:nvSpPr>
        <xdr:cNvPr id="59" name="TextBox 58"/>
        <xdr:cNvSpPr txBox="1"/>
      </xdr:nvSpPr>
      <xdr:spPr>
        <a:xfrm>
          <a:off x="13458263" y="11743765"/>
          <a:ext cx="11633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High aromaticity </a:t>
          </a:r>
        </a:p>
      </xdr:txBody>
    </xdr:sp>
    <xdr:clientData/>
  </xdr:oneCellAnchor>
  <xdr:oneCellAnchor>
    <xdr:from>
      <xdr:col>9</xdr:col>
      <xdr:colOff>242487</xdr:colOff>
      <xdr:row>20</xdr:row>
      <xdr:rowOff>9620</xdr:rowOff>
    </xdr:from>
    <xdr:ext cx="824778" cy="264560"/>
    <xdr:sp macro="" textlink="">
      <xdr:nvSpPr>
        <xdr:cNvPr id="40" name="TextBox 39"/>
        <xdr:cNvSpPr txBox="1"/>
      </xdr:nvSpPr>
      <xdr:spPr>
        <a:xfrm>
          <a:off x="8949458" y="3528267"/>
          <a:ext cx="8247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Grunnvann</a:t>
          </a:r>
        </a:p>
      </xdr:txBody>
    </xdr:sp>
    <xdr:clientData/>
  </xdr:oneCellAnchor>
  <xdr:oneCellAnchor>
    <xdr:from>
      <xdr:col>8</xdr:col>
      <xdr:colOff>343739</xdr:colOff>
      <xdr:row>20</xdr:row>
      <xdr:rowOff>182152</xdr:rowOff>
    </xdr:from>
    <xdr:ext cx="1127232" cy="264560"/>
    <xdr:sp macro="" textlink="">
      <xdr:nvSpPr>
        <xdr:cNvPr id="43" name="TextBox 42"/>
        <xdr:cNvSpPr txBox="1"/>
      </xdr:nvSpPr>
      <xdr:spPr>
        <a:xfrm>
          <a:off x="8075798" y="3801652"/>
          <a:ext cx="11272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Elv oppstrøms  ?</a:t>
          </a:r>
        </a:p>
      </xdr:txBody>
    </xdr:sp>
    <xdr:clientData/>
  </xdr:oneCellAnchor>
  <xdr:twoCellAnchor>
    <xdr:from>
      <xdr:col>87</xdr:col>
      <xdr:colOff>274543</xdr:colOff>
      <xdr:row>16</xdr:row>
      <xdr:rowOff>163605</xdr:rowOff>
    </xdr:from>
    <xdr:to>
      <xdr:col>95</xdr:col>
      <xdr:colOff>95249</xdr:colOff>
      <xdr:row>31</xdr:row>
      <xdr:rowOff>49305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112059</xdr:colOff>
      <xdr:row>48</xdr:row>
      <xdr:rowOff>78441</xdr:rowOff>
    </xdr:from>
    <xdr:to>
      <xdr:col>16</xdr:col>
      <xdr:colOff>56030</xdr:colOff>
      <xdr:row>61</xdr:row>
      <xdr:rowOff>154641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46</xdr:col>
      <xdr:colOff>123265</xdr:colOff>
      <xdr:row>113</xdr:row>
      <xdr:rowOff>11206</xdr:rowOff>
    </xdr:from>
    <xdr:to>
      <xdr:col>53</xdr:col>
      <xdr:colOff>861879</xdr:colOff>
      <xdr:row>141</xdr:row>
      <xdr:rowOff>82644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54</xdr:col>
      <xdr:colOff>224117</xdr:colOff>
      <xdr:row>113</xdr:row>
      <xdr:rowOff>44824</xdr:rowOff>
    </xdr:from>
    <xdr:to>
      <xdr:col>84</xdr:col>
      <xdr:colOff>155907</xdr:colOff>
      <xdr:row>141</xdr:row>
      <xdr:rowOff>116262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179294</xdr:colOff>
      <xdr:row>47</xdr:row>
      <xdr:rowOff>67236</xdr:rowOff>
    </xdr:from>
    <xdr:to>
      <xdr:col>21</xdr:col>
      <xdr:colOff>406335</xdr:colOff>
      <xdr:row>60</xdr:row>
      <xdr:rowOff>154642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oneCellAnchor>
    <xdr:from>
      <xdr:col>22</xdr:col>
      <xdr:colOff>896470</xdr:colOff>
      <xdr:row>20</xdr:row>
      <xdr:rowOff>179294</xdr:rowOff>
    </xdr:from>
    <xdr:ext cx="2365328" cy="264560"/>
    <xdr:sp macro="" textlink="">
      <xdr:nvSpPr>
        <xdr:cNvPr id="9" name="TextBox 8"/>
        <xdr:cNvSpPr txBox="1"/>
      </xdr:nvSpPr>
      <xdr:spPr>
        <a:xfrm>
          <a:off x="22725529" y="3798794"/>
          <a:ext cx="2365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Clear link between DNOM and Al &amp; Fe</a:t>
          </a:r>
        </a:p>
      </xdr:txBody>
    </xdr:sp>
    <xdr:clientData/>
  </xdr:oneCellAnchor>
  <xdr:oneCellAnchor>
    <xdr:from>
      <xdr:col>55</xdr:col>
      <xdr:colOff>1322295</xdr:colOff>
      <xdr:row>110</xdr:row>
      <xdr:rowOff>78441</xdr:rowOff>
    </xdr:from>
    <xdr:ext cx="3510576" cy="264560"/>
    <xdr:sp macro="" textlink="">
      <xdr:nvSpPr>
        <xdr:cNvPr id="12" name="TextBox 11"/>
        <xdr:cNvSpPr txBox="1"/>
      </xdr:nvSpPr>
      <xdr:spPr>
        <a:xfrm>
          <a:off x="46997471" y="21033441"/>
          <a:ext cx="351057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Generelt et</a:t>
          </a:r>
          <a:r>
            <a:rPr lang="nb-NO" sz="1100" baseline="0"/>
            <a:t> negativt forhold mellom bikarbonat og DNOM</a:t>
          </a:r>
          <a:endParaRPr lang="nb-NO" sz="1100"/>
        </a:p>
      </xdr:txBody>
    </xdr:sp>
    <xdr:clientData/>
  </xdr:oneCellAnchor>
  <xdr:twoCellAnchor>
    <xdr:from>
      <xdr:col>95</xdr:col>
      <xdr:colOff>414618</xdr:colOff>
      <xdr:row>16</xdr:row>
      <xdr:rowOff>163606</xdr:rowOff>
    </xdr:from>
    <xdr:to>
      <xdr:col>109</xdr:col>
      <xdr:colOff>381000</xdr:colOff>
      <xdr:row>31</xdr:row>
      <xdr:rowOff>49306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42</xdr:row>
      <xdr:rowOff>19878</xdr:rowOff>
    </xdr:from>
    <xdr:to>
      <xdr:col>8</xdr:col>
      <xdr:colOff>575642</xdr:colOff>
      <xdr:row>56</xdr:row>
      <xdr:rowOff>96078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43</xdr:row>
      <xdr:rowOff>74543</xdr:rowOff>
    </xdr:from>
    <xdr:ext cx="541495" cy="264560"/>
    <xdr:sp macro="" textlink="">
      <xdr:nvSpPr>
        <xdr:cNvPr id="3" name="TextBox 2"/>
        <xdr:cNvSpPr txBox="1"/>
      </xdr:nvSpPr>
      <xdr:spPr>
        <a:xfrm>
          <a:off x="6896100" y="8227943"/>
          <a:ext cx="541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Eutrof</a:t>
          </a:r>
        </a:p>
      </xdr:txBody>
    </xdr:sp>
    <xdr:clientData/>
  </xdr:oneCellAnchor>
  <xdr:oneCellAnchor>
    <xdr:from>
      <xdr:col>7</xdr:col>
      <xdr:colOff>82804</xdr:colOff>
      <xdr:row>42</xdr:row>
      <xdr:rowOff>107667</xdr:rowOff>
    </xdr:from>
    <xdr:ext cx="931537" cy="264560"/>
    <xdr:sp macro="" textlink="">
      <xdr:nvSpPr>
        <xdr:cNvPr id="4" name="TextBox 3"/>
        <xdr:cNvSpPr txBox="1"/>
      </xdr:nvSpPr>
      <xdr:spPr>
        <a:xfrm>
          <a:off x="6978904" y="8070567"/>
          <a:ext cx="9315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Nesøytjernet</a:t>
          </a:r>
        </a:p>
      </xdr:txBody>
    </xdr:sp>
    <xdr:clientData/>
  </xdr:oneCellAnchor>
  <xdr:oneCellAnchor>
    <xdr:from>
      <xdr:col>7</xdr:col>
      <xdr:colOff>0</xdr:colOff>
      <xdr:row>50</xdr:row>
      <xdr:rowOff>115960</xdr:rowOff>
    </xdr:from>
    <xdr:ext cx="604333" cy="264560"/>
    <xdr:sp macro="" textlink="">
      <xdr:nvSpPr>
        <xdr:cNvPr id="5" name="TextBox 4"/>
        <xdr:cNvSpPr txBox="1"/>
      </xdr:nvSpPr>
      <xdr:spPr>
        <a:xfrm>
          <a:off x="6896100" y="9602860"/>
          <a:ext cx="6043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Dystrof</a:t>
          </a:r>
        </a:p>
      </xdr:txBody>
    </xdr:sp>
    <xdr:clientData/>
  </xdr:oneCellAnchor>
  <xdr:twoCellAnchor>
    <xdr:from>
      <xdr:col>3</xdr:col>
      <xdr:colOff>1295400</xdr:colOff>
      <xdr:row>57</xdr:row>
      <xdr:rowOff>16565</xdr:rowOff>
    </xdr:from>
    <xdr:to>
      <xdr:col>8</xdr:col>
      <xdr:colOff>604631</xdr:colOff>
      <xdr:row>71</xdr:row>
      <xdr:rowOff>92765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724728</xdr:colOff>
      <xdr:row>42</xdr:row>
      <xdr:rowOff>53007</xdr:rowOff>
    </xdr:from>
    <xdr:to>
      <xdr:col>13</xdr:col>
      <xdr:colOff>0</xdr:colOff>
      <xdr:row>56</xdr:row>
      <xdr:rowOff>129207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731354</xdr:colOff>
      <xdr:row>57</xdr:row>
      <xdr:rowOff>78685</xdr:rowOff>
    </xdr:from>
    <xdr:to>
      <xdr:col>13</xdr:col>
      <xdr:colOff>0</xdr:colOff>
      <xdr:row>71</xdr:row>
      <xdr:rowOff>154885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161509</xdr:colOff>
      <xdr:row>42</xdr:row>
      <xdr:rowOff>69573</xdr:rowOff>
    </xdr:from>
    <xdr:to>
      <xdr:col>17</xdr:col>
      <xdr:colOff>153227</xdr:colOff>
      <xdr:row>56</xdr:row>
      <xdr:rowOff>145773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115957</xdr:colOff>
      <xdr:row>57</xdr:row>
      <xdr:rowOff>66261</xdr:rowOff>
    </xdr:from>
    <xdr:to>
      <xdr:col>17</xdr:col>
      <xdr:colOff>107675</xdr:colOff>
      <xdr:row>71</xdr:row>
      <xdr:rowOff>142461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273326</xdr:colOff>
      <xdr:row>42</xdr:row>
      <xdr:rowOff>91109</xdr:rowOff>
    </xdr:from>
    <xdr:to>
      <xdr:col>21</xdr:col>
      <xdr:colOff>472108</xdr:colOff>
      <xdr:row>56</xdr:row>
      <xdr:rowOff>167309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295275</xdr:colOff>
      <xdr:row>38</xdr:row>
      <xdr:rowOff>0</xdr:rowOff>
    </xdr:from>
    <xdr:to>
      <xdr:col>50</xdr:col>
      <xdr:colOff>962025</xdr:colOff>
      <xdr:row>52</xdr:row>
      <xdr:rowOff>66675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0.37131</cdr:x>
      <cdr:y>0.02944</cdr:y>
    </cdr:from>
    <cdr:to>
      <cdr:x>0.57131</cdr:x>
      <cdr:y>0.15021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95471" y="80766"/>
          <a:ext cx="913240" cy="331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Algae in Årungen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0.20018</cdr:x>
      <cdr:y>0.09239</cdr:y>
    </cdr:from>
    <cdr:to>
      <cdr:x>0.40018</cdr:x>
      <cdr:y>0.42572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5230" y="2534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Correlated due to similar source </a:t>
          </a:r>
          <a:br>
            <a:rPr lang="en-GB" sz="1100"/>
          </a:br>
          <a:r>
            <a:rPr lang="en-GB" sz="1100"/>
            <a:t>- weathering of carbonate minerals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0.20018</cdr:x>
      <cdr:y>0.09239</cdr:y>
    </cdr:from>
    <cdr:to>
      <cdr:x>0.40018</cdr:x>
      <cdr:y>0.42572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5230" y="2534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Correlated due to similar source </a:t>
          </a:r>
          <a:br>
            <a:rPr lang="en-GB" sz="1100"/>
          </a:br>
          <a:r>
            <a:rPr lang="en-GB" sz="1100"/>
            <a:t>- weathering of feldspar minerals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0.76533</cdr:x>
      <cdr:y>0.03442</cdr:y>
    </cdr:from>
    <cdr:to>
      <cdr:x>0.96533</cdr:x>
      <cdr:y>0.19595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5443" y="94433"/>
          <a:ext cx="916057" cy="443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Very high values </a:t>
          </a:r>
          <a:br>
            <a:rPr lang="en-GB" sz="1100"/>
          </a:br>
          <a:r>
            <a:rPr lang="en-GB" sz="1100"/>
            <a:t>in Akerelva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13</xdr:col>
      <xdr:colOff>133350</xdr:colOff>
      <xdr:row>107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8058150" cy="537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95250</xdr:colOff>
      <xdr:row>77</xdr:row>
      <xdr:rowOff>152400</xdr:rowOff>
    </xdr:from>
    <xdr:to>
      <xdr:col>5</xdr:col>
      <xdr:colOff>133350</xdr:colOff>
      <xdr:row>102</xdr:row>
      <xdr:rowOff>66675</xdr:rowOff>
    </xdr:to>
    <xdr:cxnSp macro="">
      <xdr:nvCxnSpPr>
        <xdr:cNvPr id="4" name="Straight Connector 3"/>
        <xdr:cNvCxnSpPr/>
      </xdr:nvCxnSpPr>
      <xdr:spPr bwMode="auto">
        <a:xfrm flipH="1" flipV="1">
          <a:off x="3143250" y="12649200"/>
          <a:ext cx="38100" cy="3962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266700</xdr:colOff>
      <xdr:row>95</xdr:row>
      <xdr:rowOff>114300</xdr:rowOff>
    </xdr:from>
    <xdr:to>
      <xdr:col>12</xdr:col>
      <xdr:colOff>361950</xdr:colOff>
      <xdr:row>96</xdr:row>
      <xdr:rowOff>28575</xdr:rowOff>
    </xdr:to>
    <xdr:cxnSp macro="">
      <xdr:nvCxnSpPr>
        <xdr:cNvPr id="6" name="Straight Connector 5"/>
        <xdr:cNvCxnSpPr/>
      </xdr:nvCxnSpPr>
      <xdr:spPr bwMode="auto">
        <a:xfrm flipV="1">
          <a:off x="876300" y="15525750"/>
          <a:ext cx="6800850" cy="76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14</xdr:col>
      <xdr:colOff>0</xdr:colOff>
      <xdr:row>73</xdr:row>
      <xdr:rowOff>161924</xdr:rowOff>
    </xdr:from>
    <xdr:to>
      <xdr:col>27</xdr:col>
      <xdr:colOff>147638</xdr:colOff>
      <xdr:row>107</xdr:row>
      <xdr:rowOff>38099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011024"/>
          <a:ext cx="8072438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238125</xdr:colOff>
      <xdr:row>105</xdr:row>
      <xdr:rowOff>66675</xdr:rowOff>
    </xdr:from>
    <xdr:ext cx="535211" cy="264560"/>
    <xdr:sp macro="" textlink="">
      <xdr:nvSpPr>
        <xdr:cNvPr id="8" name="TextBox 7"/>
        <xdr:cNvSpPr txBox="1"/>
      </xdr:nvSpPr>
      <xdr:spPr>
        <a:xfrm>
          <a:off x="3895725" y="17097375"/>
          <a:ext cx="5352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48,7%</a:t>
          </a:r>
        </a:p>
      </xdr:txBody>
    </xdr:sp>
    <xdr:clientData/>
  </xdr:oneCellAnchor>
  <xdr:oneCellAnchor>
    <xdr:from>
      <xdr:col>0</xdr:col>
      <xdr:colOff>21026</xdr:colOff>
      <xdr:row>88</xdr:row>
      <xdr:rowOff>121849</xdr:rowOff>
    </xdr:from>
    <xdr:ext cx="264560" cy="535211"/>
    <xdr:sp macro="" textlink="">
      <xdr:nvSpPr>
        <xdr:cNvPr id="9" name="TextBox 8"/>
        <xdr:cNvSpPr txBox="1"/>
      </xdr:nvSpPr>
      <xdr:spPr>
        <a:xfrm rot="16200000">
          <a:off x="-114300" y="14535150"/>
          <a:ext cx="5352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13,8%</a:t>
          </a:r>
        </a:p>
      </xdr:txBody>
    </xdr:sp>
    <xdr:clientData/>
  </xdr:oneCellAnchor>
  <xdr:twoCellAnchor editAs="oneCell">
    <xdr:from>
      <xdr:col>14</xdr:col>
      <xdr:colOff>0</xdr:colOff>
      <xdr:row>108</xdr:row>
      <xdr:rowOff>0</xdr:rowOff>
    </xdr:from>
    <xdr:to>
      <xdr:col>26</xdr:col>
      <xdr:colOff>438150</xdr:colOff>
      <xdr:row>139</xdr:row>
      <xdr:rowOff>149225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7516475"/>
          <a:ext cx="7753350" cy="516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0.20018</cdr:x>
      <cdr:y>0.09239</cdr:y>
    </cdr:from>
    <cdr:to>
      <cdr:x>0.40018</cdr:x>
      <cdr:y>0.42572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5230" y="2534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Correlated due to similar source </a:t>
          </a:r>
          <a:br>
            <a:rPr lang="en-GB" sz="1100"/>
          </a:br>
          <a:r>
            <a:rPr lang="en-GB" sz="1100"/>
            <a:t>- weathering of carbonate minerals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0.20018</cdr:x>
      <cdr:y>0.03112</cdr:y>
    </cdr:from>
    <cdr:to>
      <cdr:x>0.40018</cdr:x>
      <cdr:y>0.36445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1322" y="85356"/>
          <a:ext cx="910502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Correlated due to similar source </a:t>
          </a:r>
          <a:br>
            <a:rPr lang="en-GB" sz="1100"/>
          </a:br>
          <a:r>
            <a:rPr lang="en-GB" sz="1100"/>
            <a:t>- weathering of feldspar minerals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0.47367</cdr:x>
      <cdr:y>0.02893</cdr:y>
    </cdr:from>
    <cdr:to>
      <cdr:x>0.67367</cdr:x>
      <cdr:y>0.22071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69524" y="79367"/>
          <a:ext cx="916057" cy="526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Very high values </a:t>
          </a:r>
          <a:br>
            <a:rPr lang="en-GB" sz="1100"/>
          </a:br>
          <a:r>
            <a:rPr lang="en-GB" sz="1100"/>
            <a:t>in Solbergvann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0.28792</cdr:x>
      <cdr:y>0.13955</cdr:y>
    </cdr:from>
    <cdr:to>
      <cdr:x>0.69102</cdr:x>
      <cdr:y>0.28843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1314119" y="409389"/>
          <a:ext cx="183979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/>
            <a:t>High Mn2+</a:t>
          </a:r>
          <a:r>
            <a:rPr lang="nb-NO" sz="1100" baseline="0"/>
            <a:t> indicating </a:t>
          </a:r>
        </a:p>
        <a:p xmlns:a="http://schemas.openxmlformats.org/drawingml/2006/main">
          <a:r>
            <a:rPr lang="nb-NO" sz="1100" baseline="0"/>
            <a:t>previous reducing conditions</a:t>
          </a:r>
          <a:endParaRPr lang="nb-NO" sz="1100"/>
        </a:p>
      </cdr:txBody>
    </cdr:sp>
  </cdr:relSizeAnchor>
  <cdr:relSizeAnchor xmlns:cdr="http://schemas.openxmlformats.org/drawingml/2006/chartDrawing">
    <cdr:from>
      <cdr:x>0.54391</cdr:x>
      <cdr:y>0.27706</cdr:y>
    </cdr:from>
    <cdr:to>
      <cdr:x>0.77616</cdr:x>
      <cdr:y>0.42594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482477" y="812800"/>
          <a:ext cx="1060034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/>
            <a:t>High Mn2+</a:t>
          </a:r>
          <a:r>
            <a:rPr lang="nb-NO" sz="1100" baseline="0"/>
            <a:t> in </a:t>
          </a:r>
        </a:p>
        <a:p xmlns:a="http://schemas.openxmlformats.org/drawingml/2006/main">
          <a:r>
            <a:rPr lang="nb-NO" sz="1100" baseline="0"/>
            <a:t>Eutrophic lakes</a:t>
          </a:r>
          <a:endParaRPr lang="nb-N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0.19268</cdr:x>
      <cdr:y>0.21051</cdr:y>
    </cdr:from>
    <cdr:to>
      <cdr:x>0.39268</cdr:x>
      <cdr:y>0.3799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5268" y="577480"/>
          <a:ext cx="918883" cy="46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Low aromaticity</a:t>
          </a:r>
          <a:r>
            <a:rPr lang="en-GB" sz="1100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0.20976</cdr:x>
      <cdr:y>0</cdr:y>
    </cdr:from>
    <cdr:to>
      <cdr:x>0.54878</cdr:x>
      <cdr:y>0.1634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3726" y="0"/>
          <a:ext cx="1557598" cy="448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Small molecules </a:t>
          </a:r>
          <a:r>
            <a:rPr lang="en-GB" sz="1100" baseline="0"/>
            <a:t>in </a:t>
          </a:r>
          <a:br>
            <a:rPr lang="en-GB" sz="1100" baseline="0"/>
          </a:br>
          <a:r>
            <a:rPr lang="en-GB" sz="1100" baseline="0"/>
            <a:t>Oligothrophic lakes</a:t>
          </a:r>
          <a:endParaRPr lang="en-GB" sz="1100"/>
        </a:p>
      </cdr:txBody>
    </cdr:sp>
  </cdr:relSizeAnchor>
  <cdr:relSizeAnchor xmlns:cdr="http://schemas.openxmlformats.org/drawingml/2006/chartDrawing">
    <cdr:from>
      <cdr:x>0.71707</cdr:x>
      <cdr:y>0.12064</cdr:y>
    </cdr:from>
    <cdr:to>
      <cdr:x>0.91707</cdr:x>
      <cdr:y>0.29003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94529" y="330937"/>
          <a:ext cx="918883" cy="46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Large molecules </a:t>
          </a:r>
          <a:endParaRPr lang="en-GB" sz="1100" baseline="0"/>
        </a:p>
        <a:p xmlns:a="http://schemas.openxmlformats.org/drawingml/2006/main">
          <a:r>
            <a:rPr lang="en-GB" sz="1100" baseline="0"/>
            <a:t>in dystrophic lakes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0.14706</cdr:x>
      <cdr:y>0.05474</cdr:y>
    </cdr:from>
    <cdr:to>
      <cdr:x>0.94118</cdr:x>
      <cdr:y>0.79003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672353" y="150160"/>
          <a:ext cx="3630706" cy="20170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48698</xdr:colOff>
      <xdr:row>71</xdr:row>
      <xdr:rowOff>100852</xdr:rowOff>
    </xdr:from>
    <xdr:to>
      <xdr:col>15</xdr:col>
      <xdr:colOff>490348</xdr:colOff>
      <xdr:row>106</xdr:row>
      <xdr:rowOff>112058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51" y="11721352"/>
          <a:ext cx="8913297" cy="5804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22409</xdr:colOff>
      <xdr:row>76</xdr:row>
      <xdr:rowOff>22412</xdr:rowOff>
    </xdr:from>
    <xdr:to>
      <xdr:col>8</xdr:col>
      <xdr:colOff>67236</xdr:colOff>
      <xdr:row>102</xdr:row>
      <xdr:rowOff>22416</xdr:rowOff>
    </xdr:to>
    <xdr:cxnSp macro="">
      <xdr:nvCxnSpPr>
        <xdr:cNvPr id="4" name="Straight Connector 3"/>
        <xdr:cNvCxnSpPr/>
      </xdr:nvCxnSpPr>
      <xdr:spPr bwMode="auto">
        <a:xfrm flipV="1">
          <a:off x="5121085" y="12427324"/>
          <a:ext cx="44827" cy="42470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414618</xdr:colOff>
      <xdr:row>93</xdr:row>
      <xdr:rowOff>134470</xdr:rowOff>
    </xdr:from>
    <xdr:to>
      <xdr:col>15</xdr:col>
      <xdr:colOff>33618</xdr:colOff>
      <xdr:row>93</xdr:row>
      <xdr:rowOff>145676</xdr:rowOff>
    </xdr:to>
    <xdr:cxnSp macro="">
      <xdr:nvCxnSpPr>
        <xdr:cNvPr id="7" name="Straight Connector 6"/>
        <xdr:cNvCxnSpPr/>
      </xdr:nvCxnSpPr>
      <xdr:spPr bwMode="auto">
        <a:xfrm flipV="1">
          <a:off x="1882589" y="15206382"/>
          <a:ext cx="7485529" cy="112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8</xdr:col>
      <xdr:colOff>67235</xdr:colOff>
      <xdr:row>104</xdr:row>
      <xdr:rowOff>123264</xdr:rowOff>
    </xdr:from>
    <xdr:ext cx="699166" cy="342786"/>
    <xdr:sp macro="" textlink="">
      <xdr:nvSpPr>
        <xdr:cNvPr id="8" name="TextBox 7"/>
        <xdr:cNvSpPr txBox="1"/>
      </xdr:nvSpPr>
      <xdr:spPr>
        <a:xfrm>
          <a:off x="5165911" y="17156205"/>
          <a:ext cx="69916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 b="1"/>
            <a:t>38,3%</a:t>
          </a:r>
        </a:p>
      </xdr:txBody>
    </xdr:sp>
    <xdr:clientData/>
  </xdr:oneCellAnchor>
  <xdr:oneCellAnchor>
    <xdr:from>
      <xdr:col>0</xdr:col>
      <xdr:colOff>809111</xdr:colOff>
      <xdr:row>86</xdr:row>
      <xdr:rowOff>153953</xdr:rowOff>
    </xdr:from>
    <xdr:ext cx="374141" cy="763479"/>
    <xdr:sp macro="" textlink="">
      <xdr:nvSpPr>
        <xdr:cNvPr id="9" name="TextBox 8"/>
        <xdr:cNvSpPr txBox="1"/>
      </xdr:nvSpPr>
      <xdr:spPr>
        <a:xfrm rot="16200000">
          <a:off x="614442" y="14322357"/>
          <a:ext cx="76347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="1"/>
            <a:t>25,0%</a:t>
          </a:r>
        </a:p>
      </xdr:txBody>
    </xdr:sp>
    <xdr:clientData/>
  </xdr:oneCellAnchor>
  <xdr:oneCellAnchor>
    <xdr:from>
      <xdr:col>2</xdr:col>
      <xdr:colOff>504264</xdr:colOff>
      <xdr:row>91</xdr:row>
      <xdr:rowOff>112058</xdr:rowOff>
    </xdr:from>
    <xdr:ext cx="555345" cy="342786"/>
    <xdr:sp macro="" textlink="">
      <xdr:nvSpPr>
        <xdr:cNvPr id="5" name="TextBox 4"/>
        <xdr:cNvSpPr txBox="1"/>
      </xdr:nvSpPr>
      <xdr:spPr>
        <a:xfrm>
          <a:off x="1972235" y="14870205"/>
          <a:ext cx="55534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600" b="1">
              <a:solidFill>
                <a:srgbClr val="FF0000"/>
              </a:solidFill>
            </a:rPr>
            <a:t>Acid</a:t>
          </a:r>
        </a:p>
      </xdr:txBody>
    </xdr:sp>
    <xdr:clientData/>
  </xdr:oneCellAnchor>
  <xdr:oneCellAnchor>
    <xdr:from>
      <xdr:col>13</xdr:col>
      <xdr:colOff>410202</xdr:colOff>
      <xdr:row>91</xdr:row>
      <xdr:rowOff>107574</xdr:rowOff>
    </xdr:from>
    <xdr:ext cx="873381" cy="342786"/>
    <xdr:sp macro="" textlink="">
      <xdr:nvSpPr>
        <xdr:cNvPr id="13" name="TextBox 12"/>
        <xdr:cNvSpPr txBox="1"/>
      </xdr:nvSpPr>
      <xdr:spPr>
        <a:xfrm>
          <a:off x="8534467" y="14865721"/>
          <a:ext cx="87338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600" b="1">
              <a:solidFill>
                <a:srgbClr val="FF0000"/>
              </a:solidFill>
            </a:rPr>
            <a:t>Alkaline</a:t>
          </a:r>
        </a:p>
      </xdr:txBody>
    </xdr:sp>
    <xdr:clientData/>
  </xdr:oneCellAnchor>
  <xdr:oneCellAnchor>
    <xdr:from>
      <xdr:col>8</xdr:col>
      <xdr:colOff>149551</xdr:colOff>
      <xdr:row>76</xdr:row>
      <xdr:rowOff>22411</xdr:rowOff>
    </xdr:from>
    <xdr:ext cx="841321" cy="342786"/>
    <xdr:sp macro="" textlink="">
      <xdr:nvSpPr>
        <xdr:cNvPr id="14" name="TextBox 13"/>
        <xdr:cNvSpPr txBox="1"/>
      </xdr:nvSpPr>
      <xdr:spPr>
        <a:xfrm>
          <a:off x="5248227" y="12427323"/>
          <a:ext cx="84132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600" b="1">
              <a:solidFill>
                <a:srgbClr val="FF0000"/>
              </a:solidFill>
            </a:rPr>
            <a:t>Organic</a:t>
          </a:r>
        </a:p>
      </xdr:txBody>
    </xdr:sp>
    <xdr:clientData/>
  </xdr:oneCellAnchor>
  <xdr:oneCellAnchor>
    <xdr:from>
      <xdr:col>6</xdr:col>
      <xdr:colOff>335568</xdr:colOff>
      <xdr:row>100</xdr:row>
      <xdr:rowOff>62753</xdr:rowOff>
    </xdr:from>
    <xdr:ext cx="977640" cy="342786"/>
    <xdr:sp macro="" textlink="">
      <xdr:nvSpPr>
        <xdr:cNvPr id="15" name="TextBox 14"/>
        <xdr:cNvSpPr txBox="1"/>
      </xdr:nvSpPr>
      <xdr:spPr>
        <a:xfrm>
          <a:off x="4224009" y="16333694"/>
          <a:ext cx="97764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600" b="1">
              <a:solidFill>
                <a:srgbClr val="FF0000"/>
              </a:solidFill>
            </a:rPr>
            <a:t>Inorganic</a:t>
          </a:r>
        </a:p>
      </xdr:txBody>
    </xdr:sp>
    <xdr:clientData/>
  </xdr:oneCellAnchor>
  <xdr:twoCellAnchor editAs="oneCell">
    <xdr:from>
      <xdr:col>1</xdr:col>
      <xdr:colOff>0</xdr:colOff>
      <xdr:row>106</xdr:row>
      <xdr:rowOff>190499</xdr:rowOff>
    </xdr:from>
    <xdr:to>
      <xdr:col>15</xdr:col>
      <xdr:colOff>438265</xdr:colOff>
      <xdr:row>139</xdr:row>
      <xdr:rowOff>156881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53" y="17604440"/>
          <a:ext cx="8909912" cy="5983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235323</xdr:colOff>
      <xdr:row>116</xdr:row>
      <xdr:rowOff>11206</xdr:rowOff>
    </xdr:from>
    <xdr:to>
      <xdr:col>7</xdr:col>
      <xdr:colOff>190500</xdr:colOff>
      <xdr:row>123</xdr:row>
      <xdr:rowOff>56030</xdr:rowOff>
    </xdr:to>
    <xdr:sp macro="" textlink="">
      <xdr:nvSpPr>
        <xdr:cNvPr id="6" name="Oval 5"/>
        <xdr:cNvSpPr/>
      </xdr:nvSpPr>
      <xdr:spPr bwMode="auto">
        <a:xfrm>
          <a:off x="1703294" y="19330147"/>
          <a:ext cx="2980765" cy="1378324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5</xdr:col>
      <xdr:colOff>481853</xdr:colOff>
      <xdr:row>125</xdr:row>
      <xdr:rowOff>67235</xdr:rowOff>
    </xdr:from>
    <xdr:to>
      <xdr:col>9</xdr:col>
      <xdr:colOff>11207</xdr:colOff>
      <xdr:row>133</xdr:row>
      <xdr:rowOff>129989</xdr:rowOff>
    </xdr:to>
    <xdr:sp macro="" textlink="">
      <xdr:nvSpPr>
        <xdr:cNvPr id="17" name="Oval 16"/>
        <xdr:cNvSpPr/>
      </xdr:nvSpPr>
      <xdr:spPr bwMode="auto">
        <a:xfrm>
          <a:off x="3765177" y="21100676"/>
          <a:ext cx="1949824" cy="1519519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582707</xdr:colOff>
      <xdr:row>111</xdr:row>
      <xdr:rowOff>100852</xdr:rowOff>
    </xdr:from>
    <xdr:to>
      <xdr:col>14</xdr:col>
      <xdr:colOff>537884</xdr:colOff>
      <xdr:row>127</xdr:row>
      <xdr:rowOff>44823</xdr:rowOff>
    </xdr:to>
    <xdr:sp macro="" textlink="">
      <xdr:nvSpPr>
        <xdr:cNvPr id="18" name="Oval 17"/>
        <xdr:cNvSpPr/>
      </xdr:nvSpPr>
      <xdr:spPr bwMode="auto">
        <a:xfrm>
          <a:off x="6286501" y="18467293"/>
          <a:ext cx="2980765" cy="2991971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10</xdr:col>
      <xdr:colOff>224117</xdr:colOff>
      <xdr:row>127</xdr:row>
      <xdr:rowOff>44824</xdr:rowOff>
    </xdr:from>
    <xdr:to>
      <xdr:col>12</xdr:col>
      <xdr:colOff>168088</xdr:colOff>
      <xdr:row>133</xdr:row>
      <xdr:rowOff>67236</xdr:rowOff>
    </xdr:to>
    <xdr:sp macro="" textlink="">
      <xdr:nvSpPr>
        <xdr:cNvPr id="19" name="Oval 18"/>
        <xdr:cNvSpPr/>
      </xdr:nvSpPr>
      <xdr:spPr bwMode="auto">
        <a:xfrm>
          <a:off x="6533029" y="21459265"/>
          <a:ext cx="1154206" cy="1098177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oneCellAnchor>
    <xdr:from>
      <xdr:col>3</xdr:col>
      <xdr:colOff>560294</xdr:colOff>
      <xdr:row>114</xdr:row>
      <xdr:rowOff>123265</xdr:rowOff>
    </xdr:from>
    <xdr:ext cx="989053" cy="311496"/>
    <xdr:sp macro="" textlink="">
      <xdr:nvSpPr>
        <xdr:cNvPr id="20" name="TextBox 19"/>
        <xdr:cNvSpPr txBox="1"/>
      </xdr:nvSpPr>
      <xdr:spPr>
        <a:xfrm>
          <a:off x="2633382" y="19061206"/>
          <a:ext cx="98905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Dystrophic</a:t>
          </a:r>
        </a:p>
      </xdr:txBody>
    </xdr:sp>
    <xdr:clientData/>
  </xdr:oneCellAnchor>
  <xdr:oneCellAnchor>
    <xdr:from>
      <xdr:col>4</xdr:col>
      <xdr:colOff>410151</xdr:colOff>
      <xdr:row>132</xdr:row>
      <xdr:rowOff>51563</xdr:rowOff>
    </xdr:from>
    <xdr:ext cx="999889" cy="311496"/>
    <xdr:sp macro="" textlink="">
      <xdr:nvSpPr>
        <xdr:cNvPr id="21" name="TextBox 20"/>
        <xdr:cNvSpPr txBox="1"/>
      </xdr:nvSpPr>
      <xdr:spPr>
        <a:xfrm>
          <a:off x="3088357" y="22384887"/>
          <a:ext cx="99988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Soft dilute </a:t>
          </a:r>
        </a:p>
      </xdr:txBody>
    </xdr:sp>
    <xdr:clientData/>
  </xdr:oneCellAnchor>
  <xdr:oneCellAnchor>
    <xdr:from>
      <xdr:col>12</xdr:col>
      <xdr:colOff>192757</xdr:colOff>
      <xdr:row>130</xdr:row>
      <xdr:rowOff>147935</xdr:rowOff>
    </xdr:from>
    <xdr:ext cx="1169807" cy="311496"/>
    <xdr:sp macro="" textlink="">
      <xdr:nvSpPr>
        <xdr:cNvPr id="22" name="TextBox 21"/>
        <xdr:cNvSpPr txBox="1"/>
      </xdr:nvSpPr>
      <xdr:spPr>
        <a:xfrm>
          <a:off x="7711904" y="22133876"/>
          <a:ext cx="116980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Hard alkaline</a:t>
          </a:r>
        </a:p>
      </xdr:txBody>
    </xdr:sp>
    <xdr:clientData/>
  </xdr:oneCellAnchor>
  <xdr:oneCellAnchor>
    <xdr:from>
      <xdr:col>13</xdr:col>
      <xdr:colOff>381000</xdr:colOff>
      <xdr:row>111</xdr:row>
      <xdr:rowOff>22411</xdr:rowOff>
    </xdr:from>
    <xdr:ext cx="903196" cy="311496"/>
    <xdr:sp macro="" textlink="">
      <xdr:nvSpPr>
        <xdr:cNvPr id="23" name="TextBox 22"/>
        <xdr:cNvSpPr txBox="1"/>
      </xdr:nvSpPr>
      <xdr:spPr>
        <a:xfrm>
          <a:off x="8505265" y="18388852"/>
          <a:ext cx="90319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Eutrophic</a:t>
          </a:r>
        </a:p>
      </xdr:txBody>
    </xdr:sp>
    <xdr:clientData/>
  </xdr:oneCellAnchor>
  <xdr:twoCellAnchor editAs="oneCell">
    <xdr:from>
      <xdr:col>15</xdr:col>
      <xdr:colOff>605117</xdr:colOff>
      <xdr:row>72</xdr:row>
      <xdr:rowOff>0</xdr:rowOff>
    </xdr:from>
    <xdr:to>
      <xdr:col>30</xdr:col>
      <xdr:colOff>338405</xdr:colOff>
      <xdr:row>106</xdr:row>
      <xdr:rowOff>100853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17" y="11777382"/>
          <a:ext cx="8810053" cy="573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515471</xdr:colOff>
      <xdr:row>102</xdr:row>
      <xdr:rowOff>123265</xdr:rowOff>
    </xdr:from>
    <xdr:ext cx="726289" cy="311496"/>
    <xdr:sp macro="" textlink="">
      <xdr:nvSpPr>
        <xdr:cNvPr id="25" name="TextBox 24"/>
        <xdr:cNvSpPr txBox="1"/>
      </xdr:nvSpPr>
      <xdr:spPr>
        <a:xfrm>
          <a:off x="11665324" y="16775206"/>
          <a:ext cx="72628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DNOM</a:t>
          </a:r>
          <a:r>
            <a:rPr lang="nb-NO" sz="1100"/>
            <a:t> </a:t>
          </a:r>
        </a:p>
      </xdr:txBody>
    </xdr:sp>
    <xdr:clientData/>
  </xdr:oneCellAnchor>
  <xdr:oneCellAnchor>
    <xdr:from>
      <xdr:col>22</xdr:col>
      <xdr:colOff>17948</xdr:colOff>
      <xdr:row>102</xdr:row>
      <xdr:rowOff>118781</xdr:rowOff>
    </xdr:from>
    <xdr:ext cx="890115" cy="311496"/>
    <xdr:sp macro="" textlink="">
      <xdr:nvSpPr>
        <xdr:cNvPr id="26" name="TextBox 25"/>
        <xdr:cNvSpPr txBox="1"/>
      </xdr:nvSpPr>
      <xdr:spPr>
        <a:xfrm>
          <a:off x="13588272" y="16770722"/>
          <a:ext cx="8901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Nutrients</a:t>
          </a:r>
          <a:endParaRPr lang="nb-NO" sz="1100"/>
        </a:p>
      </xdr:txBody>
    </xdr:sp>
    <xdr:clientData/>
  </xdr:oneCellAnchor>
  <xdr:oneCellAnchor>
    <xdr:from>
      <xdr:col>24</xdr:col>
      <xdr:colOff>416893</xdr:colOff>
      <xdr:row>102</xdr:row>
      <xdr:rowOff>125503</xdr:rowOff>
    </xdr:from>
    <xdr:ext cx="1034257" cy="311496"/>
    <xdr:sp macro="" textlink="">
      <xdr:nvSpPr>
        <xdr:cNvPr id="27" name="TextBox 26"/>
        <xdr:cNvSpPr txBox="1"/>
      </xdr:nvSpPr>
      <xdr:spPr>
        <a:xfrm>
          <a:off x="15197452" y="16777444"/>
          <a:ext cx="10342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Carbonates</a:t>
          </a:r>
          <a:endParaRPr lang="nb-NO" sz="1100"/>
        </a:p>
      </xdr:txBody>
    </xdr:sp>
    <xdr:clientData/>
  </xdr:oneCellAnchor>
  <xdr:oneCellAnchor>
    <xdr:from>
      <xdr:col>26</xdr:col>
      <xdr:colOff>188302</xdr:colOff>
      <xdr:row>102</xdr:row>
      <xdr:rowOff>132225</xdr:rowOff>
    </xdr:from>
    <xdr:ext cx="1015021" cy="311496"/>
    <xdr:sp macro="" textlink="">
      <xdr:nvSpPr>
        <xdr:cNvPr id="28" name="TextBox 27"/>
        <xdr:cNvSpPr txBox="1"/>
      </xdr:nvSpPr>
      <xdr:spPr>
        <a:xfrm>
          <a:off x="16179096" y="16784166"/>
          <a:ext cx="101502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Agriculture</a:t>
          </a:r>
          <a:endParaRPr lang="nb-NO" sz="1100"/>
        </a:p>
      </xdr:txBody>
    </xdr:sp>
    <xdr:clientData/>
  </xdr:oneCellAnchor>
  <xdr:oneCellAnchor>
    <xdr:from>
      <xdr:col>28</xdr:col>
      <xdr:colOff>4535</xdr:colOff>
      <xdr:row>102</xdr:row>
      <xdr:rowOff>127741</xdr:rowOff>
    </xdr:from>
    <xdr:ext cx="786754" cy="311496"/>
    <xdr:sp macro="" textlink="">
      <xdr:nvSpPr>
        <xdr:cNvPr id="29" name="TextBox 28"/>
        <xdr:cNvSpPr txBox="1"/>
      </xdr:nvSpPr>
      <xdr:spPr>
        <a:xfrm>
          <a:off x="17205564" y="16779682"/>
          <a:ext cx="7867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400" b="1">
              <a:solidFill>
                <a:srgbClr val="FF0000"/>
              </a:solidFill>
            </a:rPr>
            <a:t>Seasalts</a:t>
          </a:r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549"/>
  <sheetViews>
    <sheetView tabSelected="1" showWhiteSpace="0" topLeftCell="B1" zoomScale="85" zoomScaleNormal="85" zoomScalePageLayoutView="125" workbookViewId="0">
      <pane xSplit="2" topLeftCell="R1" activePane="topRight" state="frozenSplit"/>
      <selection activeCell="V9" sqref="V9"/>
      <selection pane="topRight" activeCell="AI9" sqref="AI9"/>
    </sheetView>
  </sheetViews>
  <sheetFormatPr defaultColWidth="8.85546875" defaultRowHeight="15" x14ac:dyDescent="0.25"/>
  <cols>
    <col min="1" max="1" width="9.140625" style="41" hidden="1" customWidth="1"/>
    <col min="2" max="2" width="9.28515625" style="30" customWidth="1"/>
    <col min="3" max="3" width="20.42578125" style="29" customWidth="1"/>
    <col min="4" max="4" width="21.7109375" style="29" customWidth="1"/>
    <col min="5" max="5" width="16.7109375" style="40" customWidth="1"/>
    <col min="6" max="6" width="8" style="33" customWidth="1"/>
    <col min="7" max="7" width="10.28515625" style="43" customWidth="1"/>
    <col min="8" max="8" width="12.7109375" style="5" customWidth="1"/>
    <col min="9" max="9" width="16.140625" style="5" customWidth="1"/>
    <col min="10" max="10" width="8.85546875" style="64" customWidth="1"/>
    <col min="11" max="11" width="15.140625" style="67" customWidth="1"/>
    <col min="12" max="12" width="12" style="70" customWidth="1"/>
    <col min="13" max="13" width="14.42578125" style="73" customWidth="1"/>
    <col min="14" max="14" width="11.42578125" style="59" customWidth="1"/>
    <col min="15" max="16" width="15.85546875" style="59" customWidth="1"/>
    <col min="17" max="17" width="13" style="85" customWidth="1"/>
    <col min="18" max="19" width="13" style="121" customWidth="1"/>
    <col min="20" max="20" width="16.7109375" style="86" bestFit="1" customWidth="1"/>
    <col min="21" max="21" width="22.42578125" style="2" bestFit="1" customWidth="1"/>
    <col min="22" max="22" width="13" style="2" customWidth="1"/>
    <col min="23" max="23" width="16.42578125" style="85" bestFit="1" customWidth="1"/>
    <col min="24" max="24" width="16.42578125" style="86" customWidth="1"/>
    <col min="25" max="26" width="16.42578125" style="2" customWidth="1"/>
    <col min="27" max="28" width="16.42578125" style="2" hidden="1" customWidth="1"/>
    <col min="29" max="29" width="16.42578125" style="96" hidden="1" customWidth="1"/>
    <col min="30" max="30" width="20.140625" style="85" hidden="1" customWidth="1"/>
    <col min="31" max="31" width="14.140625" style="86" customWidth="1"/>
    <col min="32" max="34" width="9" style="2" customWidth="1"/>
    <col min="35" max="35" width="9" style="85" customWidth="1"/>
    <col min="36" max="36" width="9" style="121" customWidth="1"/>
    <col min="37" max="37" width="15.42578125" style="98" bestFit="1" customWidth="1"/>
    <col min="38" max="38" width="16.140625" style="32" bestFit="1" customWidth="1"/>
    <col min="39" max="39" width="8.85546875" style="1" customWidth="1"/>
    <col min="40" max="40" width="16.140625" style="32" customWidth="1"/>
    <col min="41" max="42" width="8.85546875" style="1" customWidth="1"/>
    <col min="43" max="44" width="17.28515625" style="1" bestFit="1" customWidth="1"/>
    <col min="45" max="45" width="17.28515625" style="1" customWidth="1"/>
    <col min="46" max="46" width="8.85546875" style="1"/>
    <col min="47" max="47" width="20.140625" style="1" bestFit="1" customWidth="1"/>
    <col min="48" max="53" width="13" style="1" bestFit="1" customWidth="1"/>
    <col min="54" max="55" width="13" style="4" bestFit="1" customWidth="1"/>
    <col min="56" max="56" width="21.42578125" style="4" bestFit="1" customWidth="1"/>
    <col min="57" max="57" width="14.42578125" style="43" bestFit="1" customWidth="1"/>
    <col min="58" max="59" width="8.85546875" style="55"/>
    <col min="60" max="60" width="13" style="3" bestFit="1" customWidth="1"/>
    <col min="61" max="61" width="8.42578125" style="3" customWidth="1"/>
    <col min="62" max="62" width="8.85546875" style="103" customWidth="1"/>
    <col min="63" max="64" width="8.85546875" style="2" hidden="1" customWidth="1"/>
    <col min="65" max="65" width="8.85546875" style="3" hidden="1" customWidth="1"/>
    <col min="66" max="73" width="8.85546875" style="103" hidden="1" customWidth="1"/>
    <col min="74" max="74" width="8.85546875" style="3" hidden="1" customWidth="1"/>
    <col min="75" max="80" width="8.85546875" style="103" hidden="1" customWidth="1"/>
    <col min="81" max="82" width="9" style="103" hidden="1" customWidth="1"/>
    <col min="83" max="83" width="8.85546875" style="3" hidden="1" customWidth="1"/>
    <col min="84" max="84" width="13" style="107" bestFit="1" customWidth="1"/>
    <col min="85" max="86" width="13" style="108" bestFit="1" customWidth="1"/>
    <col min="87" max="87" width="13" bestFit="1" customWidth="1"/>
    <col min="97" max="97" width="14.42578125" style="1" customWidth="1"/>
    <col min="98" max="104" width="8.85546875" style="1" hidden="1" customWidth="1"/>
    <col min="105" max="105" width="10" style="1" customWidth="1"/>
    <col min="115" max="115" width="8.85546875" customWidth="1"/>
  </cols>
  <sheetData>
    <row r="1" spans="1:115" s="16" customFormat="1" ht="15.75" customHeight="1" x14ac:dyDescent="0.25">
      <c r="A1" s="36"/>
      <c r="B1" s="37"/>
      <c r="C1" s="36"/>
      <c r="D1" s="30" t="s">
        <v>69</v>
      </c>
      <c r="E1" s="38" t="s">
        <v>70</v>
      </c>
      <c r="F1" s="39"/>
      <c r="G1" s="189"/>
      <c r="H1" s="13"/>
      <c r="I1" s="13"/>
      <c r="J1" s="62"/>
      <c r="K1" s="65" t="s">
        <v>71</v>
      </c>
      <c r="L1" s="68"/>
      <c r="M1" s="71"/>
      <c r="N1" s="58" t="s">
        <v>31</v>
      </c>
      <c r="O1" s="296" t="s">
        <v>60</v>
      </c>
      <c r="P1" s="296"/>
      <c r="Q1" s="88" t="s">
        <v>28</v>
      </c>
      <c r="R1" s="137"/>
      <c r="S1" s="137"/>
      <c r="T1" s="298" t="s">
        <v>115</v>
      </c>
      <c r="U1" s="298"/>
      <c r="V1" s="298"/>
      <c r="W1" s="298"/>
      <c r="X1" s="298" t="s">
        <v>122</v>
      </c>
      <c r="Y1" s="298"/>
      <c r="Z1" s="298"/>
      <c r="AA1" s="298"/>
      <c r="AB1" s="298"/>
      <c r="AC1" s="298"/>
      <c r="AD1" s="82"/>
      <c r="AE1" s="298" t="s">
        <v>20</v>
      </c>
      <c r="AF1" s="298"/>
      <c r="AG1" s="298"/>
      <c r="AH1" s="298"/>
      <c r="AI1" s="298"/>
      <c r="AJ1" s="128" t="s">
        <v>128</v>
      </c>
      <c r="AK1" s="97" t="s">
        <v>32</v>
      </c>
      <c r="AL1" s="56" t="s">
        <v>21</v>
      </c>
      <c r="AM1" s="47" t="s">
        <v>20</v>
      </c>
      <c r="AN1" s="56"/>
      <c r="AO1" s="47"/>
      <c r="AP1" s="47"/>
      <c r="AQ1" s="51" t="s">
        <v>4</v>
      </c>
      <c r="AR1" s="51" t="s">
        <v>5</v>
      </c>
      <c r="AS1" s="51"/>
      <c r="AT1" s="8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9" t="s">
        <v>61</v>
      </c>
      <c r="BF1" s="13"/>
      <c r="BG1" s="13"/>
      <c r="BH1" s="297" t="s">
        <v>62</v>
      </c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S1" s="46"/>
      <c r="CT1" s="47" t="s">
        <v>3</v>
      </c>
      <c r="CU1" s="47"/>
      <c r="CV1" s="47"/>
      <c r="CW1" s="47"/>
      <c r="CX1" s="47"/>
      <c r="CY1" s="47"/>
      <c r="CZ1" s="47"/>
      <c r="DA1" s="50"/>
    </row>
    <row r="2" spans="1:115" s="16" customFormat="1" ht="18" x14ac:dyDescent="0.35">
      <c r="A2" s="36"/>
      <c r="B2" s="30" t="s">
        <v>63</v>
      </c>
      <c r="C2" s="30" t="s">
        <v>64</v>
      </c>
      <c r="D2" s="30" t="s">
        <v>65</v>
      </c>
      <c r="E2" s="38" t="s">
        <v>66</v>
      </c>
      <c r="F2" s="39" t="s">
        <v>67</v>
      </c>
      <c r="G2" s="74" t="s">
        <v>291</v>
      </c>
      <c r="H2" s="74" t="s">
        <v>292</v>
      </c>
      <c r="I2" s="13" t="s">
        <v>143</v>
      </c>
      <c r="J2" s="62"/>
      <c r="K2" s="66" t="s">
        <v>68</v>
      </c>
      <c r="L2" s="69" t="s">
        <v>101</v>
      </c>
      <c r="M2" s="71" t="s">
        <v>35</v>
      </c>
      <c r="N2" s="17" t="s">
        <v>36</v>
      </c>
      <c r="O2" s="17" t="s">
        <v>37</v>
      </c>
      <c r="P2" s="17" t="s">
        <v>126</v>
      </c>
      <c r="Q2" s="89" t="s">
        <v>29</v>
      </c>
      <c r="R2" s="138" t="s">
        <v>130</v>
      </c>
      <c r="S2" s="138" t="s">
        <v>131</v>
      </c>
      <c r="T2" s="81" t="s">
        <v>38</v>
      </c>
      <c r="U2" s="10" t="s">
        <v>39</v>
      </c>
      <c r="V2" s="10" t="s">
        <v>40</v>
      </c>
      <c r="W2" s="82" t="s">
        <v>41</v>
      </c>
      <c r="X2" s="81" t="s">
        <v>1</v>
      </c>
      <c r="Y2" s="80" t="s">
        <v>2</v>
      </c>
      <c r="Z2" s="80" t="s">
        <v>114</v>
      </c>
      <c r="AA2" s="80" t="s">
        <v>117</v>
      </c>
      <c r="AB2" s="80" t="s">
        <v>118</v>
      </c>
      <c r="AC2" s="79" t="s">
        <v>119</v>
      </c>
      <c r="AD2" s="82" t="s">
        <v>120</v>
      </c>
      <c r="AE2" s="81" t="s">
        <v>97</v>
      </c>
      <c r="AF2" s="61" t="s">
        <v>98</v>
      </c>
      <c r="AG2" s="10" t="s">
        <v>42</v>
      </c>
      <c r="AH2" s="10" t="s">
        <v>72</v>
      </c>
      <c r="AI2" s="82" t="s">
        <v>112</v>
      </c>
      <c r="AJ2" s="129" t="s">
        <v>129</v>
      </c>
      <c r="AK2" s="97" t="s">
        <v>33</v>
      </c>
      <c r="AL2" s="56" t="s">
        <v>34</v>
      </c>
      <c r="AM2" s="56" t="s">
        <v>34</v>
      </c>
      <c r="AN2" s="331" t="s">
        <v>132</v>
      </c>
      <c r="AO2" s="56" t="s">
        <v>113</v>
      </c>
      <c r="AP2" s="56"/>
      <c r="AQ2" s="52" t="s">
        <v>15</v>
      </c>
      <c r="AR2" s="52" t="s">
        <v>16</v>
      </c>
      <c r="AS2" s="131"/>
      <c r="AT2" s="18"/>
      <c r="AU2" s="11" t="s">
        <v>95</v>
      </c>
      <c r="AV2" s="7" t="s">
        <v>38</v>
      </c>
      <c r="AW2" s="7" t="s">
        <v>39</v>
      </c>
      <c r="AX2" s="7" t="s">
        <v>40</v>
      </c>
      <c r="AY2" s="7" t="s">
        <v>41</v>
      </c>
      <c r="AZ2" s="61" t="s">
        <v>97</v>
      </c>
      <c r="BA2" s="60" t="s">
        <v>98</v>
      </c>
      <c r="BB2" s="10" t="s">
        <v>42</v>
      </c>
      <c r="BC2" s="8" t="s">
        <v>72</v>
      </c>
      <c r="BD2" s="8" t="s">
        <v>23</v>
      </c>
      <c r="BE2" s="9" t="s">
        <v>134</v>
      </c>
      <c r="BF2" s="13" t="s">
        <v>133</v>
      </c>
      <c r="BG2" s="13"/>
      <c r="BH2" s="9" t="s">
        <v>96</v>
      </c>
      <c r="BI2" s="14" t="s">
        <v>96</v>
      </c>
      <c r="BJ2" s="100" t="s">
        <v>80</v>
      </c>
      <c r="BK2" s="104" t="s">
        <v>81</v>
      </c>
      <c r="BL2" s="104" t="s">
        <v>81</v>
      </c>
      <c r="BM2" s="4" t="s">
        <v>81</v>
      </c>
      <c r="BN2" s="101" t="s">
        <v>90</v>
      </c>
      <c r="BO2" s="101" t="s">
        <v>91</v>
      </c>
      <c r="BP2" s="101" t="s">
        <v>92</v>
      </c>
      <c r="BQ2" s="101" t="s">
        <v>93</v>
      </c>
      <c r="BR2" s="101" t="s">
        <v>94</v>
      </c>
      <c r="BS2" s="101" t="s">
        <v>43</v>
      </c>
      <c r="BT2" s="101" t="s">
        <v>44</v>
      </c>
      <c r="BU2" s="101" t="s">
        <v>45</v>
      </c>
      <c r="BV2" s="15" t="s">
        <v>46</v>
      </c>
      <c r="BW2" s="105" t="s">
        <v>47</v>
      </c>
      <c r="BX2" s="105" t="s">
        <v>48</v>
      </c>
      <c r="BY2" s="105" t="s">
        <v>49</v>
      </c>
      <c r="BZ2" s="105" t="s">
        <v>50</v>
      </c>
      <c r="CA2" s="105" t="s">
        <v>82</v>
      </c>
      <c r="CB2" s="105" t="s">
        <v>83</v>
      </c>
      <c r="CC2" s="105" t="s">
        <v>84</v>
      </c>
      <c r="CD2" s="105" t="s">
        <v>85</v>
      </c>
      <c r="CE2" s="19" t="s">
        <v>86</v>
      </c>
      <c r="CF2" s="106" t="s">
        <v>87</v>
      </c>
      <c r="CG2" s="7" t="s">
        <v>88</v>
      </c>
      <c r="CH2" s="12" t="s">
        <v>89</v>
      </c>
      <c r="CI2" s="20" t="s">
        <v>51</v>
      </c>
      <c r="CS2" s="46" t="s">
        <v>6</v>
      </c>
      <c r="CT2" s="47" t="s">
        <v>7</v>
      </c>
      <c r="CU2" s="47" t="s">
        <v>8</v>
      </c>
      <c r="CV2" s="47" t="s">
        <v>9</v>
      </c>
      <c r="CW2" s="47" t="s">
        <v>10</v>
      </c>
      <c r="CX2" s="47" t="s">
        <v>11</v>
      </c>
      <c r="CY2" s="47" t="s">
        <v>12</v>
      </c>
      <c r="CZ2" s="47" t="s">
        <v>13</v>
      </c>
      <c r="DA2" s="50" t="s">
        <v>14</v>
      </c>
      <c r="DC2" s="46" t="s">
        <v>6</v>
      </c>
      <c r="DD2" s="47" t="s">
        <v>7</v>
      </c>
      <c r="DE2" s="47" t="s">
        <v>8</v>
      </c>
      <c r="DF2" s="47" t="s">
        <v>9</v>
      </c>
      <c r="DG2" s="47" t="s">
        <v>10</v>
      </c>
      <c r="DH2" s="47" t="s">
        <v>11</v>
      </c>
      <c r="DI2" s="47" t="s">
        <v>12</v>
      </c>
      <c r="DJ2" s="47" t="s">
        <v>13</v>
      </c>
      <c r="DK2" s="50" t="s">
        <v>14</v>
      </c>
    </row>
    <row r="3" spans="1:115" s="16" customFormat="1" ht="17.25" x14ac:dyDescent="0.25">
      <c r="A3" s="36"/>
      <c r="B3" s="30" t="s">
        <v>73</v>
      </c>
      <c r="C3" s="30" t="s">
        <v>74</v>
      </c>
      <c r="D3" s="30"/>
      <c r="E3" s="38" t="s">
        <v>75</v>
      </c>
      <c r="F3" s="39" t="s">
        <v>76</v>
      </c>
      <c r="G3" s="189"/>
      <c r="H3" s="13"/>
      <c r="I3" s="128" t="s">
        <v>54</v>
      </c>
      <c r="J3" s="62" t="s">
        <v>77</v>
      </c>
      <c r="K3" s="65" t="s">
        <v>123</v>
      </c>
      <c r="L3" s="68" t="s">
        <v>102</v>
      </c>
      <c r="M3" s="72" t="s">
        <v>52</v>
      </c>
      <c r="N3" s="21" t="s">
        <v>53</v>
      </c>
      <c r="O3" s="21" t="s">
        <v>53</v>
      </c>
      <c r="P3" s="21" t="s">
        <v>53</v>
      </c>
      <c r="Q3" s="90" t="s">
        <v>30</v>
      </c>
      <c r="R3" s="139"/>
      <c r="S3" s="139"/>
      <c r="T3" s="84" t="s">
        <v>54</v>
      </c>
      <c r="U3" s="22" t="s">
        <v>54</v>
      </c>
      <c r="V3" s="22" t="s">
        <v>54</v>
      </c>
      <c r="W3" s="83" t="s">
        <v>54</v>
      </c>
      <c r="X3" s="22" t="s">
        <v>127</v>
      </c>
      <c r="Y3" s="22" t="s">
        <v>127</v>
      </c>
      <c r="Z3" s="22" t="s">
        <v>127</v>
      </c>
      <c r="AA3" s="22" t="s">
        <v>116</v>
      </c>
      <c r="AB3" s="22" t="s">
        <v>116</v>
      </c>
      <c r="AC3" s="94" t="s">
        <v>116</v>
      </c>
      <c r="AD3" s="83" t="s">
        <v>121</v>
      </c>
      <c r="AE3" s="84" t="s">
        <v>99</v>
      </c>
      <c r="AF3" s="22" t="s">
        <v>100</v>
      </c>
      <c r="AG3" s="22" t="s">
        <v>54</v>
      </c>
      <c r="AH3" s="22" t="s">
        <v>54</v>
      </c>
      <c r="AI3" s="83" t="s">
        <v>54</v>
      </c>
      <c r="AJ3" s="130" t="s">
        <v>59</v>
      </c>
      <c r="AK3" s="97" t="s">
        <v>59</v>
      </c>
      <c r="AL3" s="56" t="s">
        <v>59</v>
      </c>
      <c r="AM3" s="56" t="s">
        <v>216</v>
      </c>
      <c r="AN3" s="56" t="s">
        <v>59</v>
      </c>
      <c r="AO3" s="56" t="s">
        <v>59</v>
      </c>
      <c r="AP3" s="56"/>
      <c r="AQ3" s="53" t="s">
        <v>19</v>
      </c>
      <c r="AR3" s="53" t="s">
        <v>19</v>
      </c>
      <c r="AS3" s="123"/>
      <c r="AT3" s="31"/>
      <c r="AU3" s="12" t="s">
        <v>78</v>
      </c>
      <c r="AV3" s="12" t="s">
        <v>78</v>
      </c>
      <c r="AW3" s="12" t="s">
        <v>78</v>
      </c>
      <c r="AX3" s="12" t="s">
        <v>78</v>
      </c>
      <c r="AY3" s="12" t="s">
        <v>78</v>
      </c>
      <c r="AZ3" s="12" t="s">
        <v>78</v>
      </c>
      <c r="BA3" s="12" t="s">
        <v>78</v>
      </c>
      <c r="BB3" s="12" t="s">
        <v>78</v>
      </c>
      <c r="BC3" s="12" t="s">
        <v>78</v>
      </c>
      <c r="BD3" s="12" t="s">
        <v>78</v>
      </c>
      <c r="BE3" s="9" t="s">
        <v>78</v>
      </c>
      <c r="BF3" s="122" t="s">
        <v>78</v>
      </c>
      <c r="BG3" s="13"/>
      <c r="BH3" s="9" t="s">
        <v>78</v>
      </c>
      <c r="BI3" s="14" t="s">
        <v>55</v>
      </c>
      <c r="BJ3" s="101" t="s">
        <v>58</v>
      </c>
      <c r="BK3" s="104" t="s">
        <v>56</v>
      </c>
      <c r="BL3" s="104" t="s">
        <v>57</v>
      </c>
      <c r="BM3" s="4" t="s">
        <v>24</v>
      </c>
      <c r="BN3" s="101" t="s">
        <v>25</v>
      </c>
      <c r="BO3" s="101" t="s">
        <v>25</v>
      </c>
      <c r="BP3" s="101" t="s">
        <v>25</v>
      </c>
      <c r="BQ3" s="101" t="s">
        <v>25</v>
      </c>
      <c r="BR3" s="101" t="s">
        <v>25</v>
      </c>
      <c r="BS3" s="101" t="s">
        <v>25</v>
      </c>
      <c r="BT3" s="101" t="s">
        <v>25</v>
      </c>
      <c r="BU3" s="101" t="s">
        <v>25</v>
      </c>
      <c r="BV3" s="15" t="s">
        <v>25</v>
      </c>
      <c r="BW3" s="101" t="s">
        <v>26</v>
      </c>
      <c r="BX3" s="101" t="s">
        <v>26</v>
      </c>
      <c r="BY3" s="101" t="s">
        <v>26</v>
      </c>
      <c r="BZ3" s="101" t="s">
        <v>26</v>
      </c>
      <c r="CA3" s="101" t="s">
        <v>26</v>
      </c>
      <c r="CB3" s="101" t="s">
        <v>26</v>
      </c>
      <c r="CC3" s="101" t="s">
        <v>26</v>
      </c>
      <c r="CD3" s="101" t="s">
        <v>26</v>
      </c>
      <c r="CE3" s="15" t="s">
        <v>26</v>
      </c>
      <c r="CF3" s="7" t="s">
        <v>27</v>
      </c>
      <c r="CG3" s="7" t="s">
        <v>27</v>
      </c>
      <c r="CH3" s="7" t="s">
        <v>27</v>
      </c>
      <c r="CI3" s="6" t="s">
        <v>55</v>
      </c>
      <c r="CS3" s="46"/>
      <c r="CT3" s="47"/>
      <c r="CU3" s="47"/>
      <c r="CV3" s="47" t="s">
        <v>17</v>
      </c>
      <c r="CW3" s="47"/>
      <c r="CX3" s="47" t="s">
        <v>18</v>
      </c>
      <c r="CY3" s="47"/>
      <c r="CZ3" s="47" t="s">
        <v>18</v>
      </c>
      <c r="DA3" s="50" t="s">
        <v>19</v>
      </c>
      <c r="DC3" s="46"/>
      <c r="DD3" s="47"/>
      <c r="DE3" s="47"/>
      <c r="DF3" s="47" t="s">
        <v>17</v>
      </c>
      <c r="DG3" s="47"/>
      <c r="DH3" s="47" t="s">
        <v>18</v>
      </c>
      <c r="DI3" s="47"/>
      <c r="DJ3" s="47" t="s">
        <v>18</v>
      </c>
      <c r="DK3" s="50" t="s">
        <v>19</v>
      </c>
    </row>
    <row r="4" spans="1:115" ht="12.75" customHeight="1" x14ac:dyDescent="0.25">
      <c r="A4" s="36">
        <v>1</v>
      </c>
      <c r="B4" s="30">
        <v>1</v>
      </c>
      <c r="C4" s="149" t="s">
        <v>109</v>
      </c>
      <c r="D4" s="150" t="s">
        <v>22</v>
      </c>
      <c r="F4" s="33">
        <v>1000</v>
      </c>
      <c r="G4" s="74" t="s">
        <v>295</v>
      </c>
      <c r="H4" s="74" t="s">
        <v>303</v>
      </c>
      <c r="I4" s="111">
        <v>0</v>
      </c>
      <c r="J4" s="111">
        <v>7.46</v>
      </c>
      <c r="K4" s="111">
        <v>270</v>
      </c>
      <c r="L4" s="111">
        <v>49.3</v>
      </c>
      <c r="M4" s="5">
        <v>20.9</v>
      </c>
      <c r="N4" s="111">
        <v>3.5999999999999997E-2</v>
      </c>
      <c r="O4" s="149">
        <v>2E-3</v>
      </c>
      <c r="Q4" s="151">
        <v>2.2309999999999999</v>
      </c>
      <c r="R4" s="336">
        <f>N4/Q4</f>
        <v>1.6136261766024205E-2</v>
      </c>
      <c r="S4" s="336">
        <f>N4/O4</f>
        <v>18</v>
      </c>
      <c r="T4" s="74">
        <v>5.5270000000000001</v>
      </c>
      <c r="U4" s="74">
        <v>1.1220000000000001</v>
      </c>
      <c r="V4" s="74">
        <v>1.8620000000000001</v>
      </c>
      <c r="W4" s="192">
        <v>0.5181</v>
      </c>
      <c r="X4" s="74">
        <v>43.8</v>
      </c>
      <c r="Y4" s="74">
        <v>28.9</v>
      </c>
      <c r="Z4" s="74">
        <v>11</v>
      </c>
      <c r="AA4" s="34"/>
      <c r="AB4" s="34"/>
      <c r="AC4" s="95"/>
      <c r="AD4" s="92"/>
      <c r="AE4" s="127">
        <v>7.5561335143805124</v>
      </c>
      <c r="AF4" s="127">
        <v>0.21082915674010316</v>
      </c>
      <c r="AG4" s="127">
        <v>2.4598227996121751</v>
      </c>
      <c r="AH4" s="127">
        <v>5.2709085639776672E-2</v>
      </c>
      <c r="AI4" s="186">
        <v>0.05</v>
      </c>
      <c r="AJ4" s="111">
        <v>13</v>
      </c>
      <c r="AK4" s="111">
        <v>8</v>
      </c>
      <c r="AL4" s="111">
        <v>10</v>
      </c>
      <c r="AM4" s="1">
        <v>89.866487082409861</v>
      </c>
      <c r="AN4" s="54">
        <f t="shared" ref="AN4:AN14" si="0">AJ4-AK4</f>
        <v>5</v>
      </c>
      <c r="AO4" s="78">
        <v>0</v>
      </c>
      <c r="AP4" s="125"/>
      <c r="AQ4" s="332">
        <f>+(5.5*(Q4))*(10^-(0.96+0.9*J4-0.039*((J4)^2)))/((10^-(0.96+0.9*J4-0.039*((J4)^2)))+(10^-J4))</f>
        <v>12.136324024003823</v>
      </c>
      <c r="AR4" s="332">
        <f>+(5.5*(Q4))*(10^-(0.96+0.9*4.5-0.039*((4.5)^2)))/((10^-(0.96+0.9*4.5-0.039*((4.5)^2)))+(10^-4.5))</f>
        <v>8.0456510091252422</v>
      </c>
      <c r="AS4" s="59"/>
      <c r="AT4" s="35"/>
      <c r="AU4" s="23">
        <f>(10^-J4)*1000000</f>
        <v>3.4673685045253172E-2</v>
      </c>
      <c r="AV4" s="24">
        <f>(T4/40.078*1000)*2</f>
        <v>275.81216627576225</v>
      </c>
      <c r="AW4" s="24">
        <f>(U4/24.312*1000)*2</f>
        <v>92.300098716683124</v>
      </c>
      <c r="AX4" s="24">
        <f>(V4/22.99*1000)</f>
        <v>80.991735537190095</v>
      </c>
      <c r="AY4" s="24">
        <f>(W4/39.102*1000)</f>
        <v>13.249961638790856</v>
      </c>
      <c r="AZ4" s="24">
        <f>(AE4/96.064*1000)*2</f>
        <v>157.31457183503733</v>
      </c>
      <c r="BA4" s="24">
        <f>(AF4/62.0067*1000)</f>
        <v>3.4001028395335209</v>
      </c>
      <c r="BB4" s="24">
        <f>(AG4/35.453*1000)</f>
        <v>69.382641796524268</v>
      </c>
      <c r="BC4" s="23">
        <f>(AH4/18.998)*1000</f>
        <v>2.7744544499303436</v>
      </c>
      <c r="BD4" s="23">
        <f>+AL4/30.97*3</f>
        <v>0.96867936712948011</v>
      </c>
      <c r="BE4" s="25">
        <f>IF(J4&lt;5.5,0,K4-31.62+AU4)-(AQ4-AR4)</f>
        <v>234.32400067016667</v>
      </c>
      <c r="BF4" s="334">
        <f>AQ4</f>
        <v>12.136324024003823</v>
      </c>
      <c r="BG4" s="26"/>
      <c r="BH4" s="25">
        <f>SUM(AU4:AY4)-SUM(AZ4:BF4)</f>
        <v>-17.912139128853823</v>
      </c>
      <c r="BI4" s="145">
        <f>BH4/SUM(AU4:BF4)*100</f>
        <v>-1.9001103569173183</v>
      </c>
      <c r="BJ4" s="102">
        <f t="shared" ref="BJ4:BJ14" si="1">0.5*(SUM(AU4:AY4)+SUM(AZ4:BC4))*0.000001</f>
        <v>3.4763020338724853E-4</v>
      </c>
      <c r="BK4" s="23">
        <f>(10^(-0.51*BJ4^0.5))</f>
        <v>0.97834297211664423</v>
      </c>
      <c r="BL4" s="23">
        <f>(10^(-0.51*4*BJ4^0.5))</f>
        <v>0.91614563868235399</v>
      </c>
      <c r="BM4" s="44">
        <f>(10^(-0.51*2.3^2*BJ4^0.5))</f>
        <v>0.89063155009110784</v>
      </c>
      <c r="BN4" s="102">
        <f t="shared" ref="BN4:BN14" si="2">(BK4*AU4*10^-9)</f>
        <v>3.3922756081409428E-11</v>
      </c>
      <c r="BO4" s="102">
        <f t="shared" ref="BO4:BO14" si="3">(BL4*0.5*AV4*10^-9)</f>
        <v>1.263420566145359E-7</v>
      </c>
      <c r="BP4" s="102">
        <f t="shared" ref="BP4:BP14" si="4">(BL4*0.5*AW4*10^-9)</f>
        <v>4.2280166444619994E-8</v>
      </c>
      <c r="BQ4" s="102">
        <f t="shared" ref="BQ4:BQ14" si="5">(BK4*AX4*10^-9)</f>
        <v>7.9237695262339805E-8</v>
      </c>
      <c r="BR4" s="102">
        <f t="shared" ref="BR4:BR14" si="6">(BK4*AY4*10^-9)</f>
        <v>1.296300685012617E-8</v>
      </c>
      <c r="BS4" s="102">
        <f t="shared" ref="BS4:BS14" si="7">(BL4*0.5*AZ4*10^-9)</f>
        <v>7.2061529443925665E-8</v>
      </c>
      <c r="BT4" s="102">
        <f t="shared" ref="BT4:BT14" si="8">(BK4*BB4*10^-9)</f>
        <v>6.7880019988516062E-8</v>
      </c>
      <c r="BU4" s="102">
        <f t="shared" ref="BU4:BU14" si="9">(BK4*BA4*10^-9)</f>
        <v>3.3264667175314663E-9</v>
      </c>
      <c r="BV4" s="45">
        <f>(BK4*BE4*10^-9)</f>
        <v>2.2924923925391341E-7</v>
      </c>
      <c r="BW4" s="102">
        <f t="shared" ref="BW4:BW14" si="10">(BN4*349.6)</f>
        <v>1.1859395526060736E-8</v>
      </c>
      <c r="BX4" s="102">
        <f>(BO4*119)</f>
        <v>1.5034704737129773E-5</v>
      </c>
      <c r="BY4" s="102">
        <f>(BP4*106)</f>
        <v>4.4816976431297195E-6</v>
      </c>
      <c r="BZ4" s="102">
        <f>(BQ4*50.1)</f>
        <v>3.9698085326432247E-6</v>
      </c>
      <c r="CA4" s="102">
        <f>(BR4*73.5)</f>
        <v>9.5278100348427343E-7</v>
      </c>
      <c r="CB4" s="102">
        <f>(BS4*160)</f>
        <v>1.1529844711028106E-5</v>
      </c>
      <c r="CC4" s="102">
        <f>(BT4*76.3)</f>
        <v>5.1792455251237754E-6</v>
      </c>
      <c r="CD4" s="102">
        <f>(BU4*71.4)</f>
        <v>2.375097236317467E-7</v>
      </c>
      <c r="CE4" s="45">
        <f>(BV4*44.5)</f>
        <v>1.0201591146799147E-5</v>
      </c>
      <c r="CF4" s="24">
        <f t="shared" ref="CF4:CF14" si="11">(SUM(BW4:CD4)*10^5)</f>
        <v>4.1397451271696681</v>
      </c>
      <c r="CG4" s="24">
        <f>L4/10</f>
        <v>4.93</v>
      </c>
      <c r="CH4" s="24">
        <f>(CG4-CF4)</f>
        <v>0.79025487283033158</v>
      </c>
      <c r="CI4" s="27">
        <f>(CH4*100/CG4)</f>
        <v>16.029510605077721</v>
      </c>
      <c r="CJ4" s="16"/>
      <c r="CS4" s="48">
        <v>3.29</v>
      </c>
      <c r="CT4" s="49">
        <f>10^-CS4</f>
        <v>5.1286138399136462E-4</v>
      </c>
      <c r="CU4" s="49">
        <v>3.1622776601683798E-2</v>
      </c>
      <c r="CV4" s="49">
        <f>+CT4*CU4</f>
        <v>1.6218100973589295E-5</v>
      </c>
      <c r="CW4" s="49">
        <v>5.0118723362727197E-7</v>
      </c>
      <c r="CX4" s="49">
        <f>+((CW4/(10^(-J4)))*CV4)*1000000</f>
        <v>234.42288153199195</v>
      </c>
      <c r="CY4" s="49">
        <v>5.6234132519034893E-11</v>
      </c>
      <c r="CZ4" s="49">
        <f>+(((CW4*CY4)/(10^(-J4)))*CV4)*1000000</f>
        <v>1.3182567385564053E-8</v>
      </c>
      <c r="DA4" s="99">
        <f>+CX4+2*CZ4</f>
        <v>234.42288155835709</v>
      </c>
      <c r="DB4" s="108"/>
      <c r="DC4" s="48">
        <v>3.42</v>
      </c>
      <c r="DD4" s="49">
        <f>10^-DC4</f>
        <v>3.8018939632056113E-4</v>
      </c>
      <c r="DE4" s="49">
        <v>3.1622776601683798E-2</v>
      </c>
      <c r="DF4" s="49">
        <f>+DD4*DE4</f>
        <v>1.2022644346174128E-5</v>
      </c>
      <c r="DG4" s="49">
        <v>5.0118723362727197E-7</v>
      </c>
      <c r="DH4" s="49">
        <f>+((DG4/(10^(-J4)))*DF4)*1000000</f>
        <v>173.78008287493739</v>
      </c>
      <c r="DI4" s="49">
        <v>5.6234132519034893E-11</v>
      </c>
      <c r="DJ4" s="49">
        <f>+(((DG4*DI4)/(10^(-J4)))*DF4)*1000000</f>
        <v>9.7723722095580961E-9</v>
      </c>
      <c r="DK4" s="99">
        <f>+DH4+2*DJ4</f>
        <v>173.78008289448215</v>
      </c>
    </row>
    <row r="5" spans="1:115" s="313" customFormat="1" ht="12.75" x14ac:dyDescent="0.2">
      <c r="A5" s="304"/>
      <c r="B5" s="30">
        <v>2</v>
      </c>
      <c r="C5" s="305" t="s">
        <v>144</v>
      </c>
      <c r="D5" s="28" t="s">
        <v>145</v>
      </c>
      <c r="E5" s="306"/>
      <c r="F5" s="307">
        <v>1000</v>
      </c>
      <c r="G5" s="329" t="s">
        <v>388</v>
      </c>
      <c r="H5" s="309" t="s">
        <v>387</v>
      </c>
      <c r="I5" s="28">
        <v>5.09</v>
      </c>
      <c r="J5" s="28">
        <v>7.82</v>
      </c>
      <c r="K5" s="28">
        <v>1640</v>
      </c>
      <c r="L5" s="308">
        <v>164.2</v>
      </c>
      <c r="M5" s="310">
        <v>20.100000000000001</v>
      </c>
      <c r="N5" s="28">
        <v>2E-3</v>
      </c>
      <c r="O5" s="311">
        <v>5.0000000000000001E-4</v>
      </c>
      <c r="P5" s="140"/>
      <c r="Q5" s="312">
        <v>1.71</v>
      </c>
      <c r="R5" s="337">
        <f t="shared" ref="R5:R14" si="12">N5/Q5</f>
        <v>1.1695906432748538E-3</v>
      </c>
      <c r="S5" s="337">
        <f t="shared" ref="S5:S14" si="13">N5/O5</f>
        <v>4</v>
      </c>
      <c r="T5" s="314">
        <v>23.92</v>
      </c>
      <c r="U5" s="313">
        <v>2.214</v>
      </c>
      <c r="V5" s="313">
        <v>1.425</v>
      </c>
      <c r="W5" s="338">
        <v>2.1880999999999999</v>
      </c>
      <c r="X5" s="313">
        <v>33.300000000000004</v>
      </c>
      <c r="Y5" s="313">
        <v>24.6</v>
      </c>
      <c r="Z5" s="340">
        <v>311.5</v>
      </c>
      <c r="AA5" s="314"/>
      <c r="AB5" s="314"/>
      <c r="AC5" s="315"/>
      <c r="AD5" s="316"/>
      <c r="AE5" s="127">
        <v>6.3220196750290656</v>
      </c>
      <c r="AF5" s="127">
        <v>0.14439453955068959</v>
      </c>
      <c r="AG5" s="127">
        <v>0.62559612790636376</v>
      </c>
      <c r="AH5" s="127">
        <v>8.7324277411853057E-2</v>
      </c>
      <c r="AI5" s="127">
        <v>0.05</v>
      </c>
      <c r="AJ5" s="28">
        <v>10</v>
      </c>
      <c r="AK5" s="28">
        <v>6</v>
      </c>
      <c r="AL5" s="28">
        <v>6</v>
      </c>
      <c r="AM5" s="317">
        <v>48.854169809346345</v>
      </c>
      <c r="AN5" s="318">
        <f t="shared" si="0"/>
        <v>4</v>
      </c>
      <c r="AO5" s="320">
        <f>AK5-AL5</f>
        <v>0</v>
      </c>
      <c r="AP5" s="330"/>
      <c r="AQ5" s="333">
        <f>+(5.5*(Q5))*(10^-(0.96+0.9*J5-0.039*((J5)^2)))/((10^-(0.96+0.9*J5-0.039*((J5)^2)))+(10^-J5))</f>
        <v>9.3469600822962811</v>
      </c>
      <c r="AR5" s="333">
        <f>+(5.5*(Q5))*(10^-(0.96+0.9*4.5-0.039*((4.5)^2)))/((10^-(0.96+0.9*4.5-0.039*((4.5)^2)))+(10^-4.5))</f>
        <v>6.1667697111627806</v>
      </c>
      <c r="AS5" s="140"/>
      <c r="AT5" s="322"/>
      <c r="AU5" s="323">
        <f>(10^-J5)*1000000</f>
        <v>1.5135612484362029E-2</v>
      </c>
      <c r="AV5" s="146">
        <f>(T5/40.078*1000)*2</f>
        <v>1193.6723389390688</v>
      </c>
      <c r="AW5" s="146">
        <f>(U5/24.312*1000)*2</f>
        <v>182.13228035538003</v>
      </c>
      <c r="AX5" s="146">
        <f>(V5/22.99*1000)</f>
        <v>61.983471074380176</v>
      </c>
      <c r="AY5" s="146">
        <f>(W5/39.102*1000)</f>
        <v>55.958774487238507</v>
      </c>
      <c r="AZ5" s="146">
        <f>(AE5/96.064*1000)*2</f>
        <v>131.62099589917275</v>
      </c>
      <c r="BA5" s="146">
        <f>(AF5/62.0067*1000)</f>
        <v>2.3286925372691916</v>
      </c>
      <c r="BB5" s="146">
        <f>(AG5/35.453*1000)</f>
        <v>17.645788167612437</v>
      </c>
      <c r="BC5" s="323">
        <f>(AH5/18.998)*1000</f>
        <v>4.596498442565168</v>
      </c>
      <c r="BD5" s="323">
        <f>+AL5/30.97*3</f>
        <v>0.58120762027768813</v>
      </c>
      <c r="BE5" s="324">
        <f>IF(J5&lt;5.5,0,K5-31.62+AU5)-(AQ5-AR5)</f>
        <v>1605.214945241351</v>
      </c>
      <c r="BF5" s="335">
        <f t="shared" ref="BF5:BF14" si="14">AQ5</f>
        <v>9.3469600822962811</v>
      </c>
      <c r="BG5" s="325"/>
      <c r="BH5" s="324">
        <f t="shared" ref="BH5:BH14" si="15">SUM(AU5:AY5)-SUM(AZ5:BF5)</f>
        <v>-277.57308752199287</v>
      </c>
      <c r="BI5" s="303">
        <f t="shared" ref="BI5:BI14" si="16">BH5/SUM(AU5:BF5)*100</f>
        <v>-8.5012200250678749</v>
      </c>
      <c r="BJ5" s="326">
        <f t="shared" si="1"/>
        <v>8.2497698775758563E-4</v>
      </c>
      <c r="BK5" s="323">
        <f t="shared" ref="BK5:BK14" si="17">(10^(-0.51*BJ5^0.5))</f>
        <v>0.9668332319750087</v>
      </c>
      <c r="BL5" s="323">
        <f t="shared" ref="BL5:BL14" si="18">(10^(-0.51*4*BJ5^0.5))</f>
        <v>0.87378840662679402</v>
      </c>
      <c r="BM5" s="327">
        <f t="shared" ref="BM5:BM14" si="19">(10^(-0.51*2.3^2*BJ5^0.5))</f>
        <v>0.836584479020829</v>
      </c>
      <c r="BN5" s="326">
        <f t="shared" si="2"/>
        <v>1.4633613136177032E-11</v>
      </c>
      <c r="BO5" s="326">
        <f t="shared" si="3"/>
        <v>5.215085255380238E-7</v>
      </c>
      <c r="BP5" s="326">
        <f t="shared" si="4"/>
        <v>7.957253752351604E-8</v>
      </c>
      <c r="BQ5" s="326">
        <f t="shared" si="5"/>
        <v>5.9927679667872462E-8</v>
      </c>
      <c r="BR5" s="326">
        <f t="shared" si="6"/>
        <v>5.4102802794857473E-8</v>
      </c>
      <c r="BS5" s="326">
        <f t="shared" si="7"/>
        <v>5.7504450142684977E-8</v>
      </c>
      <c r="BT5" s="326">
        <f t="shared" si="8"/>
        <v>1.7060534404839099E-8</v>
      </c>
      <c r="BU5" s="326">
        <f t="shared" si="9"/>
        <v>2.2514573320840562E-9</v>
      </c>
      <c r="BV5" s="45">
        <f t="shared" ref="BV5:BV14" si="20">(BK5*BE5*10^-9)</f>
        <v>1.5519751535222821E-6</v>
      </c>
      <c r="BW5" s="326">
        <f t="shared" si="10"/>
        <v>5.1159111524074909E-9</v>
      </c>
      <c r="BX5" s="326">
        <f t="shared" ref="BX5:BX14" si="21">(BO5*119)</f>
        <v>6.2059514539024828E-5</v>
      </c>
      <c r="BY5" s="326">
        <f t="shared" ref="BY5:BY14" si="22">(BP5*106)</f>
        <v>8.4346889774927005E-6</v>
      </c>
      <c r="BZ5" s="326">
        <f t="shared" ref="BZ5:BZ14" si="23">(BQ5*50.1)</f>
        <v>3.0023767513604103E-6</v>
      </c>
      <c r="CA5" s="326">
        <f t="shared" ref="CA5:CA14" si="24">(BR5*73.5)</f>
        <v>3.9765560054220246E-6</v>
      </c>
      <c r="CB5" s="326">
        <f t="shared" ref="CB5:CB14" si="25">(BS5*160)</f>
        <v>9.2007120228295956E-6</v>
      </c>
      <c r="CC5" s="326">
        <f t="shared" ref="CC5:CC14" si="26">(BT5*76.3)</f>
        <v>1.3017187750892233E-6</v>
      </c>
      <c r="CD5" s="326">
        <f t="shared" ref="CD5:CD14" si="27">(BU5*71.4)</f>
        <v>1.6075405351080162E-7</v>
      </c>
      <c r="CE5" s="328">
        <f t="shared" ref="CE5:CE14" si="28">(BV5*44.5)</f>
        <v>6.9062894331741554E-5</v>
      </c>
      <c r="CF5" s="146">
        <f t="shared" si="11"/>
        <v>8.8141437035881989</v>
      </c>
      <c r="CG5" s="146">
        <f>L5/10</f>
        <v>16.419999999999998</v>
      </c>
      <c r="CH5" s="146">
        <f t="shared" ref="CH5:CH14" si="29">(CG5-CF5)</f>
        <v>7.6058562964117993</v>
      </c>
      <c r="CI5" s="302">
        <f t="shared" ref="CI5:CI14" si="30">(CH5*100/CG5)</f>
        <v>46.320683900193664</v>
      </c>
      <c r="CS5" s="301">
        <v>2.8149999999999999</v>
      </c>
      <c r="CT5" s="319">
        <f t="shared" ref="CT5:CT14" si="31">10^-CS5</f>
        <v>1.5310874616820292E-3</v>
      </c>
      <c r="CU5" s="319">
        <v>3.1622776601683798E-2</v>
      </c>
      <c r="CV5" s="319">
        <f t="shared" ref="CV5:CV14" si="32">+CT5*CU5</f>
        <v>4.8417236758409909E-5</v>
      </c>
      <c r="CW5" s="319">
        <v>5.0118723362727197E-7</v>
      </c>
      <c r="CX5" s="319">
        <f>+((CW5/(10^(-J5)))*CV5)*1000000</f>
        <v>1603.2453906900453</v>
      </c>
      <c r="CY5" s="319">
        <v>5.6234132519034893E-11</v>
      </c>
      <c r="CZ5" s="319">
        <f>+(((CW5*CY5)/(10^(-J5)))*CV5)*1000000</f>
        <v>9.0157113760595873E-8</v>
      </c>
      <c r="DA5" s="321">
        <f>+CX5+2*CZ5</f>
        <v>1603.2453908703594</v>
      </c>
      <c r="DB5" s="108"/>
      <c r="DC5" s="48">
        <v>3.42</v>
      </c>
      <c r="DD5" s="319">
        <f t="shared" ref="DD5:DD14" si="33">10^-DC5</f>
        <v>3.8018939632056113E-4</v>
      </c>
      <c r="DE5" s="319">
        <v>3.1622776601683798E-2</v>
      </c>
      <c r="DF5" s="319">
        <f t="shared" ref="DF5:DF14" si="34">+DD5*DE5</f>
        <v>1.2022644346174128E-5</v>
      </c>
      <c r="DG5" s="319">
        <v>5.0118723362727197E-7</v>
      </c>
      <c r="DH5" s="49">
        <f t="shared" ref="DH5:DH14" si="35">+((DG5/(10^(-J5)))*DF5)*1000000</f>
        <v>398.10717055349841</v>
      </c>
      <c r="DI5" s="319">
        <v>5.6234132519034893E-11</v>
      </c>
      <c r="DJ5" s="49">
        <f t="shared" ref="DJ5:DJ14" si="36">+(((DG5*DI5)/(10^(-J5)))*DF5)*1000000</f>
        <v>2.2387211385683454E-8</v>
      </c>
      <c r="DK5" s="321">
        <f>+DH5+2*DJ5</f>
        <v>398.10717059827283</v>
      </c>
    </row>
    <row r="6" spans="1:115" x14ac:dyDescent="0.25">
      <c r="B6" s="30">
        <v>3</v>
      </c>
      <c r="C6" s="149" t="s">
        <v>146</v>
      </c>
      <c r="D6" s="150" t="s">
        <v>22</v>
      </c>
      <c r="F6" s="33">
        <v>1000</v>
      </c>
      <c r="G6" s="74" t="s">
        <v>294</v>
      </c>
      <c r="H6" s="74" t="s">
        <v>304</v>
      </c>
      <c r="I6" s="111">
        <v>4.8600000000000003</v>
      </c>
      <c r="J6" s="111">
        <v>7.38</v>
      </c>
      <c r="K6" s="111">
        <v>1160</v>
      </c>
      <c r="L6" s="111">
        <v>236</v>
      </c>
      <c r="M6" s="5">
        <v>18.2</v>
      </c>
      <c r="N6" s="111">
        <v>0.153</v>
      </c>
      <c r="O6" s="149">
        <v>1.2E-2</v>
      </c>
      <c r="Q6" s="151">
        <v>6.1820000000000004</v>
      </c>
      <c r="R6" s="336">
        <f t="shared" si="12"/>
        <v>2.4749272080232931E-2</v>
      </c>
      <c r="S6" s="336">
        <f t="shared" si="13"/>
        <v>12.75</v>
      </c>
      <c r="T6" s="34">
        <v>20.957000000000001</v>
      </c>
      <c r="U6" s="74">
        <v>2.9049999999999998</v>
      </c>
      <c r="V6" s="34">
        <v>19.782</v>
      </c>
      <c r="W6" s="114">
        <v>3.0057999999999998</v>
      </c>
      <c r="X6" s="74">
        <v>38.5</v>
      </c>
      <c r="Y6" s="74">
        <v>31.6</v>
      </c>
      <c r="Z6" s="74">
        <v>10.5</v>
      </c>
      <c r="AA6" s="34"/>
      <c r="AB6" s="34"/>
      <c r="AC6" s="95"/>
      <c r="AD6" s="92"/>
      <c r="AE6" s="341">
        <v>19.538651920525687</v>
      </c>
      <c r="AF6" s="127">
        <v>0.15717644609130801</v>
      </c>
      <c r="AG6" s="341">
        <v>34.885272037876902</v>
      </c>
      <c r="AH6" s="127">
        <v>0.10516358904046383</v>
      </c>
      <c r="AI6" s="186">
        <v>0.05</v>
      </c>
      <c r="AJ6" s="111">
        <v>31</v>
      </c>
      <c r="AK6" s="111">
        <v>10</v>
      </c>
      <c r="AL6" s="111">
        <v>4</v>
      </c>
      <c r="AM6" s="1">
        <v>30.432922034158338</v>
      </c>
      <c r="AN6" s="54">
        <f t="shared" si="0"/>
        <v>21</v>
      </c>
      <c r="AO6" s="78">
        <v>0</v>
      </c>
      <c r="AP6" s="125"/>
      <c r="AQ6" s="332">
        <f>+(5.5*(Q6))*(10^-(0.96+0.9*J6-0.039*((J6)^2)))/((10^-(0.96+0.9*J6-0.039*((J6)^2)))+(10^-J6))</f>
        <v>33.580299560193197</v>
      </c>
      <c r="AR6" s="332">
        <f>+(5.5*(Q6))*(10^-(0.96+0.9*4.5-0.039*((4.5)^2)))/((10^-(0.96+0.9*4.5-0.039*((4.5)^2)))+(10^-4.5))</f>
        <v>22.294134710180305</v>
      </c>
      <c r="AS6" s="59"/>
      <c r="AT6" s="35"/>
      <c r="AU6" s="23">
        <f>(10^-J6)*1000000</f>
        <v>4.1686938347033513E-2</v>
      </c>
      <c r="AV6" s="24">
        <f>(T6/40.078*1000)*2</f>
        <v>1045.8106691950695</v>
      </c>
      <c r="AW6" s="24">
        <f>(U6/24.312*1000)*2</f>
        <v>238.9766370516617</v>
      </c>
      <c r="AX6" s="24">
        <f>(V6/22.99*1000)</f>
        <v>860.46107003044801</v>
      </c>
      <c r="AY6" s="24">
        <f>(W6/39.102*1000)</f>
        <v>76.870748299319729</v>
      </c>
      <c r="AZ6" s="24">
        <f>(AE6/96.064*1000)*2</f>
        <v>406.78405897163742</v>
      </c>
      <c r="BA6" s="24">
        <f>(AF6/62.0067*1000)</f>
        <v>2.5348300440324674</v>
      </c>
      <c r="BB6" s="24">
        <f>(AG6/35.453*1000)</f>
        <v>983.98646201666702</v>
      </c>
      <c r="BC6" s="23">
        <f>(AH6/18.998)*1000</f>
        <v>5.5355084240690502</v>
      </c>
      <c r="BD6" s="23">
        <f>+AL6/30.97*3</f>
        <v>0.38747174685179209</v>
      </c>
      <c r="BE6" s="25">
        <f>IF(J6&lt;5.5,0,K6-31.62+AU6)-(AQ6-AR6)</f>
        <v>1117.1355220883343</v>
      </c>
      <c r="BF6" s="334">
        <f t="shared" si="14"/>
        <v>33.580299560193197</v>
      </c>
      <c r="BG6" s="26"/>
      <c r="BH6" s="25">
        <f t="shared" si="15"/>
        <v>-327.78334133693897</v>
      </c>
      <c r="BI6" s="145">
        <f t="shared" si="16"/>
        <v>-6.8687370412952227</v>
      </c>
      <c r="BJ6" s="102">
        <f t="shared" si="1"/>
        <v>1.8105008354856258E-3</v>
      </c>
      <c r="BK6" s="23">
        <f>(10^(-0.51*BJ6^0.5))</f>
        <v>0.95126060170686555</v>
      </c>
      <c r="BL6" s="23">
        <f>(10^(-0.51*4*BJ6^0.5))</f>
        <v>0.81883809623527659</v>
      </c>
      <c r="BM6" s="44">
        <f>(10^(-0.51*2.3^2*BJ6^0.5))</f>
        <v>0.76772274555078113</v>
      </c>
      <c r="BN6" s="102">
        <f t="shared" si="2"/>
        <v>3.9655142055316103E-11</v>
      </c>
      <c r="BO6" s="102">
        <f t="shared" si="3"/>
        <v>4.281748086931157E-7</v>
      </c>
      <c r="BP6" s="102">
        <f t="shared" si="4"/>
        <v>9.7841587264045668E-8</v>
      </c>
      <c r="BQ6" s="102">
        <f t="shared" si="5"/>
        <v>8.1852271522249745E-7</v>
      </c>
      <c r="BR6" s="102">
        <f t="shared" si="6"/>
        <v>7.312411428086791E-8</v>
      </c>
      <c r="BS6" s="102">
        <f t="shared" si="7"/>
        <v>1.6654514221359706E-7</v>
      </c>
      <c r="BT6" s="102">
        <f t="shared" si="8"/>
        <v>9.3602755392938447E-7</v>
      </c>
      <c r="BU6" s="102">
        <f t="shared" si="9"/>
        <v>2.4112839529109656E-9</v>
      </c>
      <c r="BV6" s="45">
        <f t="shared" si="20"/>
        <v>1.0626870089298623E-6</v>
      </c>
      <c r="BW6" s="102">
        <f t="shared" si="10"/>
        <v>1.3863437662538511E-8</v>
      </c>
      <c r="BX6" s="102">
        <f>(BO6*119)</f>
        <v>5.0952802234480766E-5</v>
      </c>
      <c r="BY6" s="102">
        <f>(BP6*106)</f>
        <v>1.037120824998884E-5</v>
      </c>
      <c r="BZ6" s="102">
        <f>(BQ6*50.1)</f>
        <v>4.1007988032647121E-5</v>
      </c>
      <c r="CA6" s="102">
        <f>(BR6*73.5)</f>
        <v>5.3746223996437914E-6</v>
      </c>
      <c r="CB6" s="102">
        <f>(BS6*160)</f>
        <v>2.6647222754175529E-5</v>
      </c>
      <c r="CC6" s="102">
        <f>(BT6*76.3)</f>
        <v>7.1418902364812036E-5</v>
      </c>
      <c r="CD6" s="102">
        <f>(BU6*71.4)</f>
        <v>1.7216567423784295E-7</v>
      </c>
      <c r="CE6" s="45">
        <f>(BV6*44.5)</f>
        <v>4.7289571897378874E-5</v>
      </c>
      <c r="CF6" s="24">
        <f t="shared" si="11"/>
        <v>20.595877514764847</v>
      </c>
      <c r="CG6" s="24">
        <f>L6/10</f>
        <v>23.6</v>
      </c>
      <c r="CH6" s="24">
        <f>(CG6-CF6)</f>
        <v>3.004122485235154</v>
      </c>
      <c r="CI6" s="27">
        <f>(CH6*100/CG6)</f>
        <v>12.729332564555737</v>
      </c>
      <c r="CS6" s="48">
        <v>2.5299999999999998</v>
      </c>
      <c r="CT6" s="49">
        <f>10^-CS6</f>
        <v>2.9512092266663864E-3</v>
      </c>
      <c r="CU6" s="49">
        <v>3.1622776601683798E-2</v>
      </c>
      <c r="CV6" s="49">
        <f>+CT6*CU6</f>
        <v>9.3325430079699141E-5</v>
      </c>
      <c r="CW6" s="49">
        <v>5.0118723362727197E-7</v>
      </c>
      <c r="CX6" s="49">
        <f>+((CW6/(10^(-J6)))*CV6)*1000000</f>
        <v>1122.0184543019639</v>
      </c>
      <c r="CY6" s="49">
        <v>5.6234132519034893E-11</v>
      </c>
      <c r="CZ6" s="49">
        <f>+(((CW6*CY6)/(10^(-J6)))*CV6)*1000000</f>
        <v>6.3095734448019323E-8</v>
      </c>
      <c r="DA6" s="99">
        <f>+CX6+2*CZ6</f>
        <v>1122.0184544281553</v>
      </c>
      <c r="DB6" s="108"/>
      <c r="DC6" s="48">
        <v>3.42</v>
      </c>
      <c r="DD6" s="49">
        <f>10^-DC6</f>
        <v>3.8018939632056113E-4</v>
      </c>
      <c r="DE6" s="49">
        <v>3.1622776601683798E-2</v>
      </c>
      <c r="DF6" s="49">
        <f>+DD6*DE6</f>
        <v>1.2022644346174128E-5</v>
      </c>
      <c r="DG6" s="49">
        <v>5.0118723362727197E-7</v>
      </c>
      <c r="DH6" s="49">
        <f t="shared" si="35"/>
        <v>144.54397707459273</v>
      </c>
      <c r="DI6" s="49">
        <v>5.6234132519034893E-11</v>
      </c>
      <c r="DJ6" s="49">
        <f t="shared" si="36"/>
        <v>8.1283051616409878E-9</v>
      </c>
      <c r="DK6" s="99">
        <f>+DH6+2*DJ6</f>
        <v>144.54397709084935</v>
      </c>
    </row>
    <row r="7" spans="1:115" ht="12.75" x14ac:dyDescent="0.2">
      <c r="B7" s="30">
        <v>4</v>
      </c>
      <c r="C7" s="149" t="s">
        <v>111</v>
      </c>
      <c r="D7" s="150" t="s">
        <v>22</v>
      </c>
      <c r="F7" s="33">
        <v>1000</v>
      </c>
      <c r="G7" s="74" t="s">
        <v>293</v>
      </c>
      <c r="H7" s="74" t="s">
        <v>305</v>
      </c>
      <c r="I7" s="111">
        <v>1.19</v>
      </c>
      <c r="J7" s="111">
        <v>7.83</v>
      </c>
      <c r="K7" s="111">
        <v>1780</v>
      </c>
      <c r="L7" s="111">
        <v>216</v>
      </c>
      <c r="M7" s="5">
        <v>20.8</v>
      </c>
      <c r="N7" s="111">
        <v>0.188</v>
      </c>
      <c r="O7" s="149">
        <v>1.2E-2</v>
      </c>
      <c r="P7" s="140"/>
      <c r="Q7" s="151">
        <v>8.85</v>
      </c>
      <c r="R7" s="336">
        <f t="shared" si="12"/>
        <v>2.1242937853107345E-2</v>
      </c>
      <c r="S7" s="336">
        <f t="shared" si="13"/>
        <v>15.666666666666666</v>
      </c>
      <c r="T7" s="34">
        <v>22.724</v>
      </c>
      <c r="U7" s="74">
        <v>3.4950000000000001</v>
      </c>
      <c r="V7" s="74">
        <v>9.702</v>
      </c>
      <c r="W7" s="114">
        <v>1.7110000000000001</v>
      </c>
      <c r="X7" s="74">
        <v>25.9</v>
      </c>
      <c r="Y7" s="74">
        <v>25.6</v>
      </c>
      <c r="Z7" s="74">
        <v>10.5</v>
      </c>
      <c r="AA7" s="34"/>
      <c r="AB7" s="34"/>
      <c r="AC7" s="95"/>
      <c r="AD7" s="92"/>
      <c r="AE7" s="127">
        <v>7.3425950311967636</v>
      </c>
      <c r="AF7" s="186">
        <v>0.05</v>
      </c>
      <c r="AG7" s="341">
        <v>11.945445353825059</v>
      </c>
      <c r="AH7" s="127">
        <v>5.6826368635467632E-2</v>
      </c>
      <c r="AI7" s="186">
        <v>0.05</v>
      </c>
      <c r="AJ7" s="111">
        <v>20</v>
      </c>
      <c r="AK7" s="111">
        <v>7</v>
      </c>
      <c r="AL7" s="111">
        <v>3</v>
      </c>
      <c r="AM7" s="1">
        <v>19.153491895036648</v>
      </c>
      <c r="AN7" s="54">
        <f t="shared" si="0"/>
        <v>13</v>
      </c>
      <c r="AO7" s="78">
        <f>AK7-AL7</f>
        <v>4</v>
      </c>
      <c r="AP7" s="125"/>
      <c r="AQ7" s="332">
        <f>+(5.5*(Q7))*(10^-(0.96+0.9*J7-0.039*((J7)^2)))/((10^-(0.96+0.9*J7-0.039*((J7)^2)))+(10^-J7))</f>
        <v>48.379461591114882</v>
      </c>
      <c r="AR7" s="332">
        <f>+(5.5*(Q7))*(10^-(0.96+0.9*4.5-0.039*((4.5)^2)))/((10^-(0.96+0.9*4.5-0.039*((4.5)^2)))+(10^-4.5))</f>
        <v>31.915737978824918</v>
      </c>
      <c r="AS7" s="59"/>
      <c r="AT7" s="35"/>
      <c r="AU7" s="23">
        <f>(10^-J7)*1000000</f>
        <v>1.4791083881682026E-2</v>
      </c>
      <c r="AV7" s="24">
        <f>(T7/40.078*1000)*2</f>
        <v>1133.9887219921152</v>
      </c>
      <c r="AW7" s="24">
        <f>(U7/24.312*1000)*2</f>
        <v>287.5123395853899</v>
      </c>
      <c r="AX7" s="24">
        <f>(V7/22.99*1000)</f>
        <v>422.00956937799043</v>
      </c>
      <c r="AY7" s="24">
        <f>(W7/39.102*1000)</f>
        <v>43.757352565086194</v>
      </c>
      <c r="AZ7" s="24">
        <f>(AE7/96.064*1000)*2</f>
        <v>152.86881727175142</v>
      </c>
      <c r="BA7" s="24">
        <f>(AF7/62.0067*1000)</f>
        <v>0.80636447351657159</v>
      </c>
      <c r="BB7" s="24">
        <f>(AG7/35.453*1000)</f>
        <v>336.93750469142407</v>
      </c>
      <c r="BC7" s="23">
        <f>(AH7/18.998)*1000</f>
        <v>2.9911763678001702</v>
      </c>
      <c r="BD7" s="23">
        <f>+AL7/30.97*3</f>
        <v>0.29060381013884407</v>
      </c>
      <c r="BE7" s="25">
        <f>IF(J7&lt;5.5,0,K7-31.62+AU7)-(AQ7-AR7)</f>
        <v>1731.9310674715919</v>
      </c>
      <c r="BF7" s="334">
        <f t="shared" si="14"/>
        <v>48.379461591114882</v>
      </c>
      <c r="BG7" s="26"/>
      <c r="BH7" s="25">
        <f t="shared" si="15"/>
        <v>-386.92222107287421</v>
      </c>
      <c r="BI7" s="145">
        <f t="shared" si="16"/>
        <v>-9.2976897309654518</v>
      </c>
      <c r="BJ7" s="102">
        <f t="shared" si="1"/>
        <v>1.1904433187044778E-3</v>
      </c>
      <c r="BK7" s="23">
        <f t="shared" si="17"/>
        <v>0.96029257561214854</v>
      </c>
      <c r="BL7" s="23">
        <f t="shared" si="18"/>
        <v>0.85038244213980063</v>
      </c>
      <c r="BM7" s="44">
        <f t="shared" si="19"/>
        <v>0.80707685233660231</v>
      </c>
      <c r="BN7" s="102">
        <f t="shared" si="2"/>
        <v>1.420376803683577E-11</v>
      </c>
      <c r="BO7" s="102">
        <f t="shared" si="3"/>
        <v>4.8216204938332316E-7</v>
      </c>
      <c r="BP7" s="102">
        <f t="shared" si="4"/>
        <v>1.2224772274097576E-7</v>
      </c>
      <c r="BQ7" s="102">
        <f t="shared" si="5"/>
        <v>4.0525265631096417E-7</v>
      </c>
      <c r="BR7" s="102">
        <f t="shared" si="6"/>
        <v>4.2019860796695477E-8</v>
      </c>
      <c r="BS7" s="102">
        <f t="shared" si="7"/>
        <v>6.4998479079287447E-8</v>
      </c>
      <c r="BT7" s="102">
        <f t="shared" si="8"/>
        <v>3.2355858420045799E-7</v>
      </c>
      <c r="BU7" s="102">
        <f t="shared" si="9"/>
        <v>7.7434581715536269E-10</v>
      </c>
      <c r="BV7" s="45">
        <f t="shared" si="20"/>
        <v>1.6631605455649929E-6</v>
      </c>
      <c r="BW7" s="102">
        <f t="shared" si="10"/>
        <v>4.9656373056777857E-9</v>
      </c>
      <c r="BX7" s="102">
        <f t="shared" si="21"/>
        <v>5.7377283876615455E-5</v>
      </c>
      <c r="BY7" s="102">
        <f t="shared" si="22"/>
        <v>1.2958258610543431E-5</v>
      </c>
      <c r="BZ7" s="102">
        <f t="shared" si="23"/>
        <v>2.0303158081179306E-5</v>
      </c>
      <c r="CA7" s="102">
        <f t="shared" si="24"/>
        <v>3.0884597685571176E-6</v>
      </c>
      <c r="CB7" s="102">
        <f t="shared" si="25"/>
        <v>1.0399756652685992E-5</v>
      </c>
      <c r="CC7" s="102">
        <f t="shared" si="26"/>
        <v>2.4687519974494945E-5</v>
      </c>
      <c r="CD7" s="102">
        <f t="shared" si="27"/>
        <v>5.5288291344892899E-8</v>
      </c>
      <c r="CE7" s="45">
        <f t="shared" si="28"/>
        <v>7.4010644277642187E-5</v>
      </c>
      <c r="CF7" s="146">
        <f t="shared" si="11"/>
        <v>12.887469089272683</v>
      </c>
      <c r="CG7" s="146">
        <f>L7/10</f>
        <v>21.6</v>
      </c>
      <c r="CH7" s="24">
        <f t="shared" si="29"/>
        <v>8.7125309107273186</v>
      </c>
      <c r="CI7" s="27">
        <f t="shared" si="30"/>
        <v>40.335791253367212</v>
      </c>
      <c r="CS7" s="48">
        <v>2.79</v>
      </c>
      <c r="CT7" s="49">
        <f t="shared" si="31"/>
        <v>1.6218100973589284E-3</v>
      </c>
      <c r="CU7" s="49">
        <v>3.1622776601683798E-2</v>
      </c>
      <c r="CV7" s="49">
        <f t="shared" si="32"/>
        <v>5.1286138399136447E-5</v>
      </c>
      <c r="CW7" s="49">
        <v>5.0118723362727197E-7</v>
      </c>
      <c r="CX7" s="49">
        <f>+((CW7/(10^(-J7)))*CV7)*1000000</f>
        <v>1737.800828749379</v>
      </c>
      <c r="CY7" s="49">
        <v>5.6234132519034893E-11</v>
      </c>
      <c r="CZ7" s="49">
        <f>+(((CW7*CY7)/(10^(-J7)))*CV7)*1000000</f>
        <v>9.7723722095581216E-8</v>
      </c>
      <c r="DA7" s="99">
        <f>+CX7+2*CZ7</f>
        <v>1737.8008289448264</v>
      </c>
      <c r="DB7" s="108"/>
      <c r="DC7" s="48">
        <v>3.42</v>
      </c>
      <c r="DD7" s="49">
        <f t="shared" ref="DD7:DD14" si="37">10^-DC7</f>
        <v>3.8018939632056113E-4</v>
      </c>
      <c r="DE7" s="49">
        <v>3.1622776601683798E-2</v>
      </c>
      <c r="DF7" s="49">
        <f t="shared" ref="DF7:DF14" si="38">+DD7*DE7</f>
        <v>1.2022644346174128E-5</v>
      </c>
      <c r="DG7" s="49">
        <v>5.0118723362727197E-7</v>
      </c>
      <c r="DH7" s="49">
        <f t="shared" si="35"/>
        <v>407.3802778041138</v>
      </c>
      <c r="DI7" s="49">
        <v>5.6234132519034893E-11</v>
      </c>
      <c r="DJ7" s="49">
        <f t="shared" si="36"/>
        <v>2.2908676527677779E-8</v>
      </c>
      <c r="DK7" s="99">
        <f>+DH7+2*DJ7</f>
        <v>407.38027784993113</v>
      </c>
    </row>
    <row r="8" spans="1:115" x14ac:dyDescent="0.25">
      <c r="B8" s="30">
        <v>5</v>
      </c>
      <c r="C8" s="149" t="s">
        <v>110</v>
      </c>
      <c r="D8" s="150" t="s">
        <v>0</v>
      </c>
      <c r="F8" s="33">
        <v>1000</v>
      </c>
      <c r="G8" s="74" t="s">
        <v>296</v>
      </c>
      <c r="H8" s="74" t="s">
        <v>306</v>
      </c>
      <c r="I8" s="111">
        <v>0</v>
      </c>
      <c r="J8" s="111">
        <v>6.81</v>
      </c>
      <c r="K8" s="111">
        <v>113</v>
      </c>
      <c r="L8" s="111">
        <v>22.4</v>
      </c>
      <c r="M8" s="5">
        <v>20.8</v>
      </c>
      <c r="N8" s="111">
        <v>0.193</v>
      </c>
      <c r="O8" s="149">
        <v>1.9E-2</v>
      </c>
      <c r="P8" s="140"/>
      <c r="Q8" s="151">
        <v>5.47</v>
      </c>
      <c r="R8" s="336">
        <f t="shared" si="12"/>
        <v>3.528336380255942E-2</v>
      </c>
      <c r="S8" s="336">
        <f t="shared" si="13"/>
        <v>10.157894736842106</v>
      </c>
      <c r="T8" s="74">
        <v>2.1539999999999999</v>
      </c>
      <c r="U8" s="74">
        <v>0.52610000000000001</v>
      </c>
      <c r="V8" s="74">
        <v>1.4730000000000001</v>
      </c>
      <c r="W8" s="74">
        <v>0.41570000000000001</v>
      </c>
      <c r="X8" s="339">
        <v>114.5</v>
      </c>
      <c r="Y8" s="74">
        <v>40.9</v>
      </c>
      <c r="Z8" s="74">
        <v>11.5</v>
      </c>
      <c r="AA8" s="34"/>
      <c r="AB8" s="34"/>
      <c r="AC8" s="95"/>
      <c r="AD8" s="92"/>
      <c r="AE8" s="127">
        <v>1.7522138245719154</v>
      </c>
      <c r="AF8" s="127">
        <v>0.45178623296157794</v>
      </c>
      <c r="AG8" s="127">
        <v>1.7256753514023231</v>
      </c>
      <c r="AH8" s="127">
        <v>8.9906660099300623E-2</v>
      </c>
      <c r="AI8" s="186">
        <v>0.05</v>
      </c>
      <c r="AJ8" s="111">
        <v>9</v>
      </c>
      <c r="AK8" s="111">
        <v>6</v>
      </c>
      <c r="AL8" s="111">
        <v>2</v>
      </c>
      <c r="AM8" s="1">
        <v>24.872701413996786</v>
      </c>
      <c r="AN8" s="54">
        <f t="shared" si="0"/>
        <v>3</v>
      </c>
      <c r="AO8" s="78">
        <f>AK8-AL8</f>
        <v>4</v>
      </c>
      <c r="AP8" s="125"/>
      <c r="AQ8" s="332">
        <f>+(5.5*(Q8))*(10^-(0.96+0.9*J8-0.039*((J8)^2)))/((10^-(0.96+0.9*J8-0.039*((J8)^2)))+(10^-J8))</f>
        <v>29.221939699359126</v>
      </c>
      <c r="AR8" s="332">
        <f>+(5.5*(Q8))*(10^-(0.96+0.9*4.5-0.039*((4.5)^2)))/((10^-(0.96+0.9*4.5-0.039*((4.5)^2)))+(10^-4.5))</f>
        <v>19.726450479567493</v>
      </c>
      <c r="AS8" s="59"/>
      <c r="AT8" s="35"/>
      <c r="AU8" s="23">
        <f>(10^-J8)*1000000</f>
        <v>0.15488166189124805</v>
      </c>
      <c r="AV8" s="24">
        <f>(T8/40.078*1000)*2</f>
        <v>107.49039373222216</v>
      </c>
      <c r="AW8" s="24">
        <f>(U8/24.312*1000)*2</f>
        <v>43.279039157617639</v>
      </c>
      <c r="AX8" s="24">
        <f>(V8/22.99*1000)</f>
        <v>64.071335363201413</v>
      </c>
      <c r="AY8" s="24">
        <f>(W8/39.102*1000)</f>
        <v>10.631169761137539</v>
      </c>
      <c r="AZ8" s="24">
        <f>(AE8/96.064*1000)*2</f>
        <v>36.48013458885567</v>
      </c>
      <c r="BA8" s="24">
        <f>(AF8/62.0067*1000)</f>
        <v>7.2860873576819589</v>
      </c>
      <c r="BB8" s="24">
        <f>(AG8/35.453*1000)</f>
        <v>48.675016258210107</v>
      </c>
      <c r="BC8" s="24">
        <f>(AH8/18.998)*1000</f>
        <v>4.7324276291873151</v>
      </c>
      <c r="BD8" s="23">
        <f>+AL8/30.97*3</f>
        <v>0.19373587342589604</v>
      </c>
      <c r="BE8" s="25">
        <f>IF(J8&lt;5.5,0,K8-31.62+AU8)-(AQ8-AR8)</f>
        <v>72.039392442099611</v>
      </c>
      <c r="BF8" s="334">
        <f t="shared" si="14"/>
        <v>29.221939699359126</v>
      </c>
      <c r="BG8" s="26"/>
      <c r="BH8" s="25">
        <f t="shared" si="15"/>
        <v>26.998085827250321</v>
      </c>
      <c r="BI8" s="145">
        <f t="shared" si="16"/>
        <v>6.3636375771487526</v>
      </c>
      <c r="BJ8" s="102">
        <f t="shared" si="1"/>
        <v>1.6140024275500251E-4</v>
      </c>
      <c r="BK8" s="23">
        <f t="shared" si="17"/>
        <v>0.98519179637712107</v>
      </c>
      <c r="BL8" s="23">
        <f t="shared" si="18"/>
        <v>0.94206994221767881</v>
      </c>
      <c r="BM8" s="44">
        <f t="shared" si="19"/>
        <v>0.92411275030320861</v>
      </c>
      <c r="BN8" s="102">
        <f t="shared" si="2"/>
        <v>1.5258814270451258E-10</v>
      </c>
      <c r="BO8" s="102">
        <f t="shared" si="3"/>
        <v>5.0631734506135043E-8</v>
      </c>
      <c r="BP8" s="102">
        <f t="shared" si="4"/>
        <v>2.0385940959226755E-8</v>
      </c>
      <c r="BQ8" s="102">
        <f t="shared" si="5"/>
        <v>6.3122553982753363E-8</v>
      </c>
      <c r="BR8" s="102">
        <f t="shared" si="6"/>
        <v>1.0473741234565221E-8</v>
      </c>
      <c r="BS8" s="102">
        <f t="shared" si="7"/>
        <v>1.7183419142108203E-8</v>
      </c>
      <c r="BT8" s="102">
        <f t="shared" si="8"/>
        <v>4.7954226706111592E-8</v>
      </c>
      <c r="BU8" s="102">
        <f t="shared" si="9"/>
        <v>7.1781934924753211E-9</v>
      </c>
      <c r="BV8" s="45">
        <f t="shared" si="20"/>
        <v>7.0972618449948521E-8</v>
      </c>
      <c r="BW8" s="102">
        <f t="shared" si="10"/>
        <v>5.3344814689497603E-8</v>
      </c>
      <c r="BX8" s="102">
        <f t="shared" si="21"/>
        <v>6.0251764062300699E-6</v>
      </c>
      <c r="BY8" s="102">
        <f t="shared" si="22"/>
        <v>2.1609097416780359E-6</v>
      </c>
      <c r="BZ8" s="102">
        <f t="shared" si="23"/>
        <v>3.1624399545359435E-6</v>
      </c>
      <c r="CA8" s="102">
        <f t="shared" si="24"/>
        <v>7.6981998074054373E-7</v>
      </c>
      <c r="CB8" s="102">
        <f t="shared" si="25"/>
        <v>2.7493470627373125E-6</v>
      </c>
      <c r="CC8" s="102">
        <f t="shared" si="26"/>
        <v>3.6589074976763145E-6</v>
      </c>
      <c r="CD8" s="102">
        <f t="shared" si="27"/>
        <v>5.1252301536273796E-7</v>
      </c>
      <c r="CE8" s="45">
        <f t="shared" si="28"/>
        <v>3.1582815210227091E-6</v>
      </c>
      <c r="CF8" s="146">
        <f t="shared" si="11"/>
        <v>1.9092468473650452</v>
      </c>
      <c r="CG8" s="146">
        <f>L8/10</f>
        <v>2.2399999999999998</v>
      </c>
      <c r="CH8" s="24">
        <f t="shared" si="29"/>
        <v>0.33075315263495453</v>
      </c>
      <c r="CI8" s="27">
        <f t="shared" si="30"/>
        <v>14.765765742631901</v>
      </c>
      <c r="CS8" s="48">
        <v>3.15</v>
      </c>
      <c r="CT8" s="49">
        <f t="shared" si="31"/>
        <v>7.079457843841378E-4</v>
      </c>
      <c r="CU8" s="49">
        <v>3.1622776601683798E-2</v>
      </c>
      <c r="CV8" s="49">
        <f t="shared" si="32"/>
        <v>2.2387211385683396E-5</v>
      </c>
      <c r="CW8" s="49">
        <v>5.0118723362727197E-7</v>
      </c>
      <c r="CX8" s="49">
        <f>+((CW8/(10^(-J8)))*CV8)*1000000</f>
        <v>72.443596007498996</v>
      </c>
      <c r="CY8" s="49">
        <v>5.6234132519034893E-11</v>
      </c>
      <c r="CZ8" s="49">
        <f>+(((CW8*CY8)/(10^(-J8)))*CV8)*1000000</f>
        <v>4.0738027780411256E-9</v>
      </c>
      <c r="DA8" s="99">
        <f>+CX8+2*CZ8</f>
        <v>72.443596015646605</v>
      </c>
      <c r="DB8" s="108"/>
      <c r="DC8" s="48">
        <v>3.42</v>
      </c>
      <c r="DD8" s="49">
        <f t="shared" si="37"/>
        <v>3.8018939632056113E-4</v>
      </c>
      <c r="DE8" s="49">
        <v>3.1622776601683798E-2</v>
      </c>
      <c r="DF8" s="49">
        <f t="shared" si="38"/>
        <v>1.2022644346174128E-5</v>
      </c>
      <c r="DG8" s="49">
        <v>5.0118723362727197E-7</v>
      </c>
      <c r="DH8" s="49">
        <f t="shared" si="35"/>
        <v>38.904514499428053</v>
      </c>
      <c r="DI8" s="49">
        <v>5.6234132519034893E-11</v>
      </c>
      <c r="DJ8" s="49">
        <f t="shared" si="36"/>
        <v>2.1877616239495518E-9</v>
      </c>
      <c r="DK8" s="99">
        <f>+DH8+2*DJ8</f>
        <v>38.904514503803576</v>
      </c>
    </row>
    <row r="9" spans="1:115" x14ac:dyDescent="0.25">
      <c r="B9" s="30">
        <v>6</v>
      </c>
      <c r="C9" s="149" t="s">
        <v>103</v>
      </c>
      <c r="D9" s="150" t="s">
        <v>0</v>
      </c>
      <c r="F9" s="33">
        <v>1000</v>
      </c>
      <c r="G9" s="74" t="s">
        <v>297</v>
      </c>
      <c r="H9" s="74" t="s">
        <v>307</v>
      </c>
      <c r="I9" s="111">
        <v>0</v>
      </c>
      <c r="J9" s="111">
        <v>7.02</v>
      </c>
      <c r="K9" s="111">
        <v>240</v>
      </c>
      <c r="L9" s="111">
        <v>45.2</v>
      </c>
      <c r="M9" s="5">
        <v>20.100000000000001</v>
      </c>
      <c r="N9" s="111">
        <v>0.189</v>
      </c>
      <c r="O9" s="149">
        <v>1.9E-2</v>
      </c>
      <c r="P9" s="140"/>
      <c r="Q9" s="151">
        <v>5.6130000000000004</v>
      </c>
      <c r="R9" s="336">
        <f t="shared" si="12"/>
        <v>3.3671833244254407E-2</v>
      </c>
      <c r="S9" s="336">
        <f t="shared" si="13"/>
        <v>9.9473684210526319</v>
      </c>
      <c r="T9" s="74">
        <v>4.0990000000000002</v>
      </c>
      <c r="U9" s="74">
        <v>0.79490000000000005</v>
      </c>
      <c r="V9" s="74">
        <v>2.9430000000000001</v>
      </c>
      <c r="W9" s="74">
        <v>0.58830000000000005</v>
      </c>
      <c r="X9" s="74">
        <v>83.1</v>
      </c>
      <c r="Y9" s="74">
        <v>57.2</v>
      </c>
      <c r="Z9" s="74">
        <v>13.2</v>
      </c>
      <c r="AA9" s="34"/>
      <c r="AB9" s="34"/>
      <c r="AC9" s="95"/>
      <c r="AD9" s="92"/>
      <c r="AE9" s="127">
        <v>3.3664918691879295</v>
      </c>
      <c r="AF9" s="127">
        <v>0.56276191790689167</v>
      </c>
      <c r="AG9" s="127">
        <v>4.3779087201522646</v>
      </c>
      <c r="AH9" s="127">
        <v>0.10601828601002233</v>
      </c>
      <c r="AI9" s="186">
        <v>0.05</v>
      </c>
      <c r="AJ9" s="111">
        <v>22</v>
      </c>
      <c r="AK9" s="111">
        <v>14</v>
      </c>
      <c r="AL9" s="111">
        <v>2</v>
      </c>
      <c r="AM9" s="1">
        <v>30.379321367886938</v>
      </c>
      <c r="AN9" s="54">
        <f t="shared" si="0"/>
        <v>8</v>
      </c>
      <c r="AO9" s="78">
        <f>AK9-AL9</f>
        <v>12</v>
      </c>
      <c r="AP9" s="125"/>
      <c r="AQ9" s="332">
        <f>+(5.5*(Q9))*(10^-(0.96+0.9*J9-0.039*((J9)^2)))/((10^-(0.96+0.9*J9-0.039*((J9)^2)))+(10^-J9))</f>
        <v>30.216400706392562</v>
      </c>
      <c r="AR9" s="332">
        <f>+(5.5*(Q9))*(10^-(0.96+0.9*4.5-0.039*((4.5)^2)))/((10^-(0.96+0.9*4.5-0.039*((4.5)^2)))+(10^-4.5))</f>
        <v>20.242151104536077</v>
      </c>
      <c r="AS9" s="59"/>
      <c r="AT9" s="35"/>
      <c r="AU9" s="23">
        <f>(10^-J9)*1000000</f>
        <v>9.5499258602143561E-2</v>
      </c>
      <c r="AV9" s="24">
        <f>(T9/40.078*1000)*2</f>
        <v>204.55112530565398</v>
      </c>
      <c r="AW9" s="24">
        <f>(U9/24.312*1000)*2</f>
        <v>65.391576176373817</v>
      </c>
      <c r="AX9" s="24">
        <f>(V9/22.99*1000)</f>
        <v>128.01217920835148</v>
      </c>
      <c r="AY9" s="24">
        <f>(W9/39.102*1000)</f>
        <v>15.045266226791471</v>
      </c>
      <c r="AZ9" s="24">
        <f>(AE9/96.064*1000)*2</f>
        <v>70.088521593686067</v>
      </c>
      <c r="BA9" s="24">
        <f>(AF9/62.0067*1000)</f>
        <v>9.0758243529633358</v>
      </c>
      <c r="BB9" s="24">
        <f>(AG9/35.453*1000)</f>
        <v>123.48485939560162</v>
      </c>
      <c r="BC9" s="23">
        <f>(AH9/18.998)*1000</f>
        <v>5.5804972107602033</v>
      </c>
      <c r="BD9" s="23">
        <f>+AL9/30.97*3</f>
        <v>0.19373587342589604</v>
      </c>
      <c r="BE9" s="25">
        <f>IF(J9&lt;5.5,0,K9-31.62+AU9)-(AQ9-AR9)</f>
        <v>198.50124965674564</v>
      </c>
      <c r="BF9" s="334">
        <f t="shared" si="14"/>
        <v>30.216400706392562</v>
      </c>
      <c r="BG9" s="26"/>
      <c r="BH9" s="25">
        <f t="shared" si="15"/>
        <v>-24.045442613802493</v>
      </c>
      <c r="BI9" s="145">
        <f t="shared" si="16"/>
        <v>-2.8280879459745387</v>
      </c>
      <c r="BJ9" s="102">
        <f t="shared" si="1"/>
        <v>3.1066267436439203E-4</v>
      </c>
      <c r="BK9" s="23">
        <f t="shared" si="17"/>
        <v>0.97951463903413549</v>
      </c>
      <c r="BL9" s="23">
        <f t="shared" si="18"/>
        <v>0.92054224559803033</v>
      </c>
      <c r="BM9" s="44">
        <f t="shared" si="19"/>
        <v>0.89628850164106688</v>
      </c>
      <c r="BN9" s="102">
        <f t="shared" si="2"/>
        <v>9.3542921817706209E-11</v>
      </c>
      <c r="BO9" s="102">
        <f t="shared" si="3"/>
        <v>9.41489761142354E-8</v>
      </c>
      <c r="BP9" s="102">
        <f t="shared" si="4"/>
        <v>3.0097854188296909E-8</v>
      </c>
      <c r="BQ9" s="102">
        <f t="shared" si="5"/>
        <v>1.2538980350924149E-7</v>
      </c>
      <c r="BR9" s="102">
        <f t="shared" si="6"/>
        <v>1.4737058517308118E-8</v>
      </c>
      <c r="BS9" s="102">
        <f t="shared" si="7"/>
        <v>3.2259722529248906E-8</v>
      </c>
      <c r="BT9" s="102">
        <f t="shared" si="8"/>
        <v>1.2095522747706369E-7</v>
      </c>
      <c r="BU9" s="102">
        <f t="shared" si="9"/>
        <v>8.8899028150300977E-9</v>
      </c>
      <c r="BV9" s="45">
        <f t="shared" si="20"/>
        <v>1.9443487990535206E-7</v>
      </c>
      <c r="BW9" s="102">
        <f t="shared" si="10"/>
        <v>3.2702605467470093E-8</v>
      </c>
      <c r="BX9" s="102">
        <f t="shared" si="21"/>
        <v>1.1203728157594013E-5</v>
      </c>
      <c r="BY9" s="102">
        <f t="shared" si="22"/>
        <v>3.1903725439594723E-6</v>
      </c>
      <c r="BZ9" s="102">
        <f t="shared" si="23"/>
        <v>6.2820291558129985E-6</v>
      </c>
      <c r="CA9" s="102">
        <f t="shared" si="24"/>
        <v>1.0831738010221467E-6</v>
      </c>
      <c r="CB9" s="102">
        <f t="shared" si="25"/>
        <v>5.1615556046798246E-6</v>
      </c>
      <c r="CC9" s="102">
        <f t="shared" si="26"/>
        <v>9.2288838564999592E-6</v>
      </c>
      <c r="CD9" s="102">
        <f t="shared" si="27"/>
        <v>6.3473906099314905E-7</v>
      </c>
      <c r="CE9" s="45">
        <f t="shared" si="28"/>
        <v>8.6523521557881673E-6</v>
      </c>
      <c r="CF9" s="146">
        <f t="shared" si="11"/>
        <v>3.681718478602904</v>
      </c>
      <c r="CG9" s="146">
        <f>L9/10</f>
        <v>4.5200000000000005</v>
      </c>
      <c r="CH9" s="24">
        <f t="shared" si="29"/>
        <v>0.83828152139709644</v>
      </c>
      <c r="CI9" s="27">
        <f t="shared" si="30"/>
        <v>18.54605135834284</v>
      </c>
      <c r="CS9" s="48">
        <v>2.92</v>
      </c>
      <c r="CT9" s="49">
        <f t="shared" si="31"/>
        <v>1.2022644346174124E-3</v>
      </c>
      <c r="CU9" s="49">
        <v>3.1622776601683798E-2</v>
      </c>
      <c r="CV9" s="49">
        <f t="shared" si="32"/>
        <v>3.801893963205611E-5</v>
      </c>
      <c r="CW9" s="49">
        <v>5.0118723362727197E-7</v>
      </c>
      <c r="CX9" s="49">
        <f>+((CW9/(10^(-J9)))*CV9)*1000000</f>
        <v>199.52623149688785</v>
      </c>
      <c r="CY9" s="49">
        <v>5.6234132519034893E-11</v>
      </c>
      <c r="CZ9" s="49">
        <f>+(((CW9*CY9)/(10^(-J9)))*CV9)*1000000</f>
        <v>1.1220184543019625E-8</v>
      </c>
      <c r="DA9" s="99">
        <f>+CX9+2*CZ9</f>
        <v>199.52623151932821</v>
      </c>
      <c r="DB9" s="108"/>
      <c r="DC9" s="48">
        <v>3.42</v>
      </c>
      <c r="DD9" s="49">
        <f t="shared" si="37"/>
        <v>3.8018939632056113E-4</v>
      </c>
      <c r="DE9" s="49">
        <v>3.1622776601683798E-2</v>
      </c>
      <c r="DF9" s="49">
        <f t="shared" si="38"/>
        <v>1.2022644346174128E-5</v>
      </c>
      <c r="DG9" s="49">
        <v>5.0118723362727197E-7</v>
      </c>
      <c r="DH9" s="49">
        <f t="shared" si="35"/>
        <v>63.095734448019307</v>
      </c>
      <c r="DI9" s="49">
        <v>5.6234132519034893E-11</v>
      </c>
      <c r="DJ9" s="49">
        <f t="shared" si="36"/>
        <v>3.5481338923357525E-9</v>
      </c>
      <c r="DK9" s="99">
        <f>+DH9+2*DJ9</f>
        <v>63.095734455115576</v>
      </c>
    </row>
    <row r="10" spans="1:115" ht="12.75" x14ac:dyDescent="0.2">
      <c r="B10" s="30">
        <v>7</v>
      </c>
      <c r="C10" s="149" t="s">
        <v>108</v>
      </c>
      <c r="D10" s="150" t="s">
        <v>22</v>
      </c>
      <c r="F10" s="33">
        <v>1000</v>
      </c>
      <c r="G10" s="74" t="s">
        <v>298</v>
      </c>
      <c r="H10" s="74" t="s">
        <v>308</v>
      </c>
      <c r="I10" s="111">
        <v>5.51</v>
      </c>
      <c r="J10" s="111">
        <v>7.36</v>
      </c>
      <c r="K10" s="111">
        <v>1640</v>
      </c>
      <c r="L10" s="111">
        <v>228</v>
      </c>
      <c r="M10" s="5">
        <v>21</v>
      </c>
      <c r="N10" s="111">
        <v>0.17899999999999999</v>
      </c>
      <c r="O10" s="149">
        <v>1.7999999999999999E-2</v>
      </c>
      <c r="P10" s="140"/>
      <c r="Q10" s="151">
        <v>5.96</v>
      </c>
      <c r="R10" s="336">
        <f t="shared" si="12"/>
        <v>3.0033557046979863E-2</v>
      </c>
      <c r="S10" s="336">
        <f t="shared" si="13"/>
        <v>9.9444444444444446</v>
      </c>
      <c r="T10" s="34">
        <v>24.169</v>
      </c>
      <c r="U10" s="74">
        <v>3.8879999999999999</v>
      </c>
      <c r="V10" s="74">
        <v>8.9990000000000006</v>
      </c>
      <c r="W10" s="74">
        <v>2.718</v>
      </c>
      <c r="X10" s="74">
        <v>36.900000000000006</v>
      </c>
      <c r="Y10" s="339">
        <v>174.5</v>
      </c>
      <c r="Z10" s="339">
        <v>111.19999999999999</v>
      </c>
      <c r="AA10" s="34"/>
      <c r="AB10" s="34"/>
      <c r="AC10" s="95"/>
      <c r="AD10" s="92"/>
      <c r="AE10" s="341">
        <v>10.40473886737778</v>
      </c>
      <c r="AF10" s="127">
        <v>1.6139723718476027</v>
      </c>
      <c r="AG10" s="341">
        <v>15.228896256028976</v>
      </c>
      <c r="AH10" s="127">
        <v>0.12612977731453712</v>
      </c>
      <c r="AI10" s="186">
        <v>0.05</v>
      </c>
      <c r="AJ10" s="111">
        <v>198</v>
      </c>
      <c r="AK10" s="111">
        <v>67</v>
      </c>
      <c r="AL10" s="111">
        <v>64</v>
      </c>
      <c r="AM10" s="1">
        <v>156.56436491373833</v>
      </c>
      <c r="AN10" s="54">
        <f t="shared" si="0"/>
        <v>131</v>
      </c>
      <c r="AO10" s="78">
        <f>AK10-AL10</f>
        <v>3</v>
      </c>
      <c r="AP10" s="125"/>
      <c r="AQ10" s="332">
        <f>+(5.5*(Q10))*(10^-(0.96+0.9*J10-0.039*((J10)^2)))/((10^-(0.96+0.9*J10-0.039*((J10)^2)))+(10^-J10))</f>
        <v>32.361767447256355</v>
      </c>
      <c r="AR10" s="332">
        <f>+(5.5*(Q10))*(10^-(0.96+0.9*4.5-0.039*((4.5)^2)))/((10^-(0.96+0.9*4.5-0.039*((4.5)^2)))+(10^-4.5))</f>
        <v>21.493536537152149</v>
      </c>
      <c r="AS10" s="59"/>
      <c r="AT10" s="35"/>
      <c r="AU10" s="23">
        <f>(10^-J10)*1000000</f>
        <v>4.3651583224016563E-2</v>
      </c>
      <c r="AV10" s="24">
        <f>(T10/40.078*1000)*2</f>
        <v>1206.0981086880581</v>
      </c>
      <c r="AW10" s="24">
        <f>(U10/24.312*1000)*2</f>
        <v>319.84205330700888</v>
      </c>
      <c r="AX10" s="24">
        <f>(V10/22.99*1000)</f>
        <v>391.43105698129625</v>
      </c>
      <c r="AY10" s="24">
        <f>(W10/39.102*1000)</f>
        <v>69.51051097130582</v>
      </c>
      <c r="AZ10" s="24">
        <f>(AE10/96.064*1000)*2</f>
        <v>216.62097908431423</v>
      </c>
      <c r="BA10" s="24">
        <f>(AF10/62.0067*1000)</f>
        <v>26.028999637903688</v>
      </c>
      <c r="BB10" s="24">
        <f>(AG10/35.453*1000)</f>
        <v>429.55169537215397</v>
      </c>
      <c r="BC10" s="23">
        <f>(AH10/18.998)*1000</f>
        <v>6.639108185837304</v>
      </c>
      <c r="BD10" s="23">
        <f>+AL10/30.97*3</f>
        <v>6.1995479496286734</v>
      </c>
      <c r="BE10" s="25">
        <f>IF(J10&lt;5.5,0,K10-31.62+AU10)-(AQ10-AR10)</f>
        <v>1597.5554206731201</v>
      </c>
      <c r="BF10" s="334">
        <f t="shared" si="14"/>
        <v>32.361767447256355</v>
      </c>
      <c r="BG10" s="26"/>
      <c r="BH10" s="25">
        <f t="shared" si="15"/>
        <v>-328.03213681932107</v>
      </c>
      <c r="BI10" s="145">
        <f t="shared" si="16"/>
        <v>-7.6253153433903789</v>
      </c>
      <c r="BJ10" s="102">
        <f t="shared" si="1"/>
        <v>1.3328830819055513E-3</v>
      </c>
      <c r="BK10" s="23">
        <f t="shared" si="17"/>
        <v>0.95803323992797629</v>
      </c>
      <c r="BL10" s="23">
        <f t="shared" si="18"/>
        <v>0.84240766634060726</v>
      </c>
      <c r="BM10" s="44">
        <f t="shared" si="19"/>
        <v>0.79708246579404129</v>
      </c>
      <c r="BN10" s="102">
        <f t="shared" si="2"/>
        <v>4.1819667704090288E-11</v>
      </c>
      <c r="BO10" s="102">
        <f t="shared" si="3"/>
        <v>5.0801314655886364E-7</v>
      </c>
      <c r="BP10" s="102">
        <f t="shared" si="4"/>
        <v>1.3471869886197275E-7</v>
      </c>
      <c r="BQ10" s="102">
        <f t="shared" si="5"/>
        <v>3.7500396372822354E-7</v>
      </c>
      <c r="BR10" s="102">
        <f t="shared" si="6"/>
        <v>6.6593380034889256E-8</v>
      </c>
      <c r="BS10" s="102">
        <f t="shared" si="7"/>
        <v>9.1241586735417336E-8</v>
      </c>
      <c r="BT10" s="102">
        <f t="shared" si="8"/>
        <v>4.1152480243393982E-7</v>
      </c>
      <c r="BU10" s="102">
        <f t="shared" si="9"/>
        <v>2.4936646855184994E-8</v>
      </c>
      <c r="BV10" s="45">
        <f t="shared" si="20"/>
        <v>1.5305111956319705E-6</v>
      </c>
      <c r="BW10" s="102">
        <f t="shared" si="10"/>
        <v>1.4620155829349966E-8</v>
      </c>
      <c r="BX10" s="102">
        <f t="shared" si="21"/>
        <v>6.0453564440504771E-5</v>
      </c>
      <c r="BY10" s="102">
        <f t="shared" si="22"/>
        <v>1.4280182079369112E-5</v>
      </c>
      <c r="BZ10" s="102">
        <f t="shared" si="23"/>
        <v>1.8787698582783998E-5</v>
      </c>
      <c r="CA10" s="102">
        <f t="shared" si="24"/>
        <v>4.8946134325643604E-6</v>
      </c>
      <c r="CB10" s="102">
        <f t="shared" si="25"/>
        <v>1.4598653877666774E-5</v>
      </c>
      <c r="CC10" s="102">
        <f t="shared" si="26"/>
        <v>3.1399342425709609E-5</v>
      </c>
      <c r="CD10" s="102">
        <f t="shared" si="27"/>
        <v>1.7804765854602087E-6</v>
      </c>
      <c r="CE10" s="45">
        <f t="shared" si="28"/>
        <v>6.8107748205622692E-5</v>
      </c>
      <c r="CF10" s="146">
        <f t="shared" si="11"/>
        <v>14.620915157988817</v>
      </c>
      <c r="CG10" s="146">
        <f>L10/10</f>
        <v>22.8</v>
      </c>
      <c r="CH10" s="24">
        <f t="shared" si="29"/>
        <v>8.1790848420111839</v>
      </c>
      <c r="CI10" s="27">
        <f t="shared" si="30"/>
        <v>35.873179131628</v>
      </c>
      <c r="CS10" s="48">
        <v>2.355</v>
      </c>
      <c r="CT10" s="49">
        <f t="shared" si="31"/>
        <v>4.4157044735331219E-3</v>
      </c>
      <c r="CU10" s="49">
        <v>3.1622776601683798E-2</v>
      </c>
      <c r="CV10" s="49">
        <f t="shared" si="32"/>
        <v>1.3963683610559367E-4</v>
      </c>
      <c r="CW10" s="49">
        <v>5.0118723362727197E-7</v>
      </c>
      <c r="CX10" s="49">
        <f>+((CW10/(10^(-J10)))*CV10)*1000000</f>
        <v>1603.2453906900405</v>
      </c>
      <c r="CY10" s="49">
        <v>5.6234132519034893E-11</v>
      </c>
      <c r="CZ10" s="49">
        <f>+(((CW10*CY10)/(10^(-J10)))*CV10)*1000000</f>
        <v>9.0157113760595621E-8</v>
      </c>
      <c r="DA10" s="99">
        <f>+CX10+2*CZ10</f>
        <v>1603.2453908703546</v>
      </c>
      <c r="DB10" s="108"/>
      <c r="DC10" s="48">
        <v>3.42</v>
      </c>
      <c r="DD10" s="49">
        <f t="shared" si="37"/>
        <v>3.8018939632056113E-4</v>
      </c>
      <c r="DE10" s="49">
        <v>3.1622776601683798E-2</v>
      </c>
      <c r="DF10" s="49">
        <f t="shared" si="38"/>
        <v>1.2022644346174128E-5</v>
      </c>
      <c r="DG10" s="49">
        <v>5.0118723362727197E-7</v>
      </c>
      <c r="DH10" s="49">
        <f t="shared" si="35"/>
        <v>138.03842646028849</v>
      </c>
      <c r="DI10" s="49">
        <v>5.6234132519034893E-11</v>
      </c>
      <c r="DJ10" s="49">
        <f t="shared" si="36"/>
        <v>7.7624711662869157E-9</v>
      </c>
      <c r="DK10" s="99">
        <f>+DH10+2*DJ10</f>
        <v>138.03842647581342</v>
      </c>
    </row>
    <row r="11" spans="1:115" ht="12.75" x14ac:dyDescent="0.2">
      <c r="B11" s="30">
        <v>8</v>
      </c>
      <c r="C11" s="149" t="s">
        <v>105</v>
      </c>
      <c r="D11" s="150" t="s">
        <v>22</v>
      </c>
      <c r="F11" s="33">
        <v>1000</v>
      </c>
      <c r="G11" s="74" t="s">
        <v>299</v>
      </c>
      <c r="H11" s="74" t="s">
        <v>309</v>
      </c>
      <c r="I11" s="111">
        <v>0.22</v>
      </c>
      <c r="J11" s="111">
        <v>7.27</v>
      </c>
      <c r="K11" s="111">
        <v>810</v>
      </c>
      <c r="L11" s="111">
        <v>200</v>
      </c>
      <c r="M11" s="5">
        <v>20.100000000000001</v>
      </c>
      <c r="N11" s="111">
        <v>0.30299999999999999</v>
      </c>
      <c r="O11" s="149">
        <v>3.1E-2</v>
      </c>
      <c r="Q11" s="151">
        <v>8.9909999999999997</v>
      </c>
      <c r="R11" s="336">
        <f t="shared" si="12"/>
        <v>3.3700367033700371E-2</v>
      </c>
      <c r="S11" s="336">
        <f t="shared" si="13"/>
        <v>9.7741935483870961</v>
      </c>
      <c r="T11" s="34">
        <v>16.308</v>
      </c>
      <c r="U11" s="34">
        <v>2.645</v>
      </c>
      <c r="V11" s="34">
        <v>12.977</v>
      </c>
      <c r="W11" s="74">
        <v>2.3690000000000002</v>
      </c>
      <c r="X11" s="74">
        <v>70.5</v>
      </c>
      <c r="Y11" s="339">
        <v>118.9</v>
      </c>
      <c r="Z11" s="74">
        <v>22.2</v>
      </c>
      <c r="AA11" s="34"/>
      <c r="AB11" s="34"/>
      <c r="AC11" s="95"/>
      <c r="AD11" s="92"/>
      <c r="AE11" s="341">
        <v>15.875791872889685</v>
      </c>
      <c r="AF11" s="127">
        <v>3.8433445696216002</v>
      </c>
      <c r="AG11" s="341">
        <v>23.736438656415679</v>
      </c>
      <c r="AH11" s="127">
        <v>0.11007986545172951</v>
      </c>
      <c r="AI11" s="127">
        <v>0.17283974460031143</v>
      </c>
      <c r="AJ11" s="111">
        <v>22</v>
      </c>
      <c r="AK11" s="111">
        <v>16</v>
      </c>
      <c r="AL11" s="111">
        <v>6</v>
      </c>
      <c r="AM11" s="1">
        <v>41.545095415771684</v>
      </c>
      <c r="AN11" s="54">
        <f t="shared" si="0"/>
        <v>6</v>
      </c>
      <c r="AO11" s="78">
        <f>AK11-AL11</f>
        <v>10</v>
      </c>
      <c r="AP11" s="125"/>
      <c r="AQ11" s="332">
        <f>+(5.5*(Q11))*(10^-(0.96+0.9*J11-0.039*((J11)^2)))/((10^-(0.96+0.9*J11-0.039*((J11)^2)))+(10^-J11))</f>
        <v>48.72688830343531</v>
      </c>
      <c r="AR11" s="332">
        <f>+(5.5*(Q11))*(10^-(0.96+0.9*4.5-0.039*((4.5)^2)))/((10^-(0.96+0.9*4.5-0.039*((4.5)^2)))+(10^-4.5))</f>
        <v>32.424226007640101</v>
      </c>
      <c r="AS11" s="59"/>
      <c r="AT11" s="35"/>
      <c r="AU11" s="23">
        <f>(10^-J11)*1000000</f>
        <v>5.3703179637025193E-2</v>
      </c>
      <c r="AV11" s="24">
        <f>(T11/40.078*1000)*2</f>
        <v>813.81306452417778</v>
      </c>
      <c r="AW11" s="24">
        <f>(U11/24.312*1000)*2</f>
        <v>217.58802237578152</v>
      </c>
      <c r="AX11" s="24">
        <f>(V11/22.99*1000)</f>
        <v>564.46280991735546</v>
      </c>
      <c r="AY11" s="24">
        <f>(W11/39.102*1000)</f>
        <v>60.585136310163172</v>
      </c>
      <c r="AZ11" s="24">
        <f>(AE11/96.064*1000)*2</f>
        <v>330.52531380932891</v>
      </c>
      <c r="BA11" s="24">
        <f>(AF11/62.0067*1000)</f>
        <v>61.982730408513916</v>
      </c>
      <c r="BB11" s="24">
        <f>(AG11/35.453*1000)</f>
        <v>669.51847957621862</v>
      </c>
      <c r="BC11" s="23">
        <f>(AH11/18.998)*1000</f>
        <v>5.7942870539914475</v>
      </c>
      <c r="BD11" s="23">
        <f>+AL11/30.97*3</f>
        <v>0.58120762027768813</v>
      </c>
      <c r="BE11" s="25">
        <f>IF(J11&lt;5.5,0,K11-31.62+AU11)-(AQ11-AR11)</f>
        <v>762.13104088384182</v>
      </c>
      <c r="BF11" s="334">
        <f t="shared" si="14"/>
        <v>48.72688830343531</v>
      </c>
      <c r="BG11" s="26"/>
      <c r="BH11" s="25">
        <f t="shared" si="15"/>
        <v>-222.75721134849232</v>
      </c>
      <c r="BI11" s="145">
        <f t="shared" si="16"/>
        <v>-6.3001177188406796</v>
      </c>
      <c r="BJ11" s="102">
        <f t="shared" si="1"/>
        <v>1.3621617735775839E-3</v>
      </c>
      <c r="BK11" s="23">
        <f t="shared" si="17"/>
        <v>0.95758467550213511</v>
      </c>
      <c r="BL11" s="23">
        <f t="shared" si="18"/>
        <v>0.84083106632535554</v>
      </c>
      <c r="BM11" s="44">
        <f t="shared" si="19"/>
        <v>0.79511019286795614</v>
      </c>
      <c r="BN11" s="102">
        <f t="shared" si="2"/>
        <v>5.1425341846153644E-11</v>
      </c>
      <c r="BO11" s="102">
        <f t="shared" si="3"/>
        <v>3.4213965341668492E-7</v>
      </c>
      <c r="BP11" s="102">
        <f t="shared" si="4"/>
        <v>9.1477384436926854E-8</v>
      </c>
      <c r="BQ11" s="102">
        <f t="shared" si="5"/>
        <v>5.4052093666773426E-7</v>
      </c>
      <c r="BR11" s="102">
        <f t="shared" si="6"/>
        <v>5.8015398093820229E-8</v>
      </c>
      <c r="BS11" s="102">
        <f t="shared" si="7"/>
        <v>1.3895797602891041E-7</v>
      </c>
      <c r="BT11" s="102">
        <f t="shared" si="8"/>
        <v>6.4112063600767623E-7</v>
      </c>
      <c r="BU11" s="102">
        <f t="shared" si="9"/>
        <v>5.9353712784973124E-8</v>
      </c>
      <c r="BV11" s="45">
        <f t="shared" si="20"/>
        <v>7.2980500547485825E-7</v>
      </c>
      <c r="BW11" s="102">
        <f t="shared" si="10"/>
        <v>1.7978299509415316E-8</v>
      </c>
      <c r="BX11" s="102">
        <f t="shared" si="21"/>
        <v>4.0714618756585503E-5</v>
      </c>
      <c r="BY11" s="102">
        <f t="shared" si="22"/>
        <v>9.6966027503142463E-6</v>
      </c>
      <c r="BZ11" s="102">
        <f t="shared" si="23"/>
        <v>2.7080098927053488E-5</v>
      </c>
      <c r="CA11" s="102">
        <f t="shared" si="24"/>
        <v>4.2641317598957866E-6</v>
      </c>
      <c r="CB11" s="102">
        <f t="shared" si="25"/>
        <v>2.2233276164625665E-5</v>
      </c>
      <c r="CC11" s="102">
        <f t="shared" si="26"/>
        <v>4.8917504527385696E-5</v>
      </c>
      <c r="CD11" s="102">
        <f t="shared" si="27"/>
        <v>4.2378550928470811E-6</v>
      </c>
      <c r="CE11" s="45">
        <f t="shared" si="28"/>
        <v>3.247632274363119E-5</v>
      </c>
      <c r="CF11" s="146">
        <f t="shared" si="11"/>
        <v>15.716206627821686</v>
      </c>
      <c r="CG11" s="146">
        <f>L11/10</f>
        <v>20</v>
      </c>
      <c r="CH11" s="24">
        <f t="shared" si="29"/>
        <v>4.2837933721783141</v>
      </c>
      <c r="CI11" s="27">
        <f t="shared" si="30"/>
        <v>21.418966860891569</v>
      </c>
      <c r="CS11" s="48">
        <v>2.59</v>
      </c>
      <c r="CT11" s="49">
        <f t="shared" si="31"/>
        <v>2.5703957827688637E-3</v>
      </c>
      <c r="CU11" s="49">
        <v>3.1622776601683798E-2</v>
      </c>
      <c r="CV11" s="49">
        <f t="shared" si="32"/>
        <v>8.1283051616409932E-5</v>
      </c>
      <c r="CW11" s="49">
        <v>5.0118723362727197E-7</v>
      </c>
      <c r="CX11" s="49">
        <f>+((CW11/(10^(-J11)))*CV11)*1000000</f>
        <v>758.57757502918446</v>
      </c>
      <c r="CY11" s="49">
        <v>5.6234132519034893E-11</v>
      </c>
      <c r="CZ11" s="49">
        <f>+(((CW11*CY11)/(10^(-J11)))*CV11)*1000000</f>
        <v>4.2657951880159292E-8</v>
      </c>
      <c r="DA11" s="99">
        <f>+CX11+2*CZ11</f>
        <v>758.57757511450041</v>
      </c>
      <c r="DB11" s="108"/>
      <c r="DC11" s="48">
        <v>3.42</v>
      </c>
      <c r="DD11" s="49">
        <f t="shared" si="37"/>
        <v>3.8018939632056113E-4</v>
      </c>
      <c r="DE11" s="49">
        <v>3.1622776601683798E-2</v>
      </c>
      <c r="DF11" s="49">
        <f t="shared" si="38"/>
        <v>1.2022644346174128E-5</v>
      </c>
      <c r="DG11" s="49">
        <v>5.0118723362727197E-7</v>
      </c>
      <c r="DH11" s="49">
        <f t="shared" si="35"/>
        <v>112.20184543019644</v>
      </c>
      <c r="DI11" s="49">
        <v>5.6234132519034893E-11</v>
      </c>
      <c r="DJ11" s="49">
        <f t="shared" si="36"/>
        <v>6.3095734448019354E-9</v>
      </c>
      <c r="DK11" s="99">
        <f>+DH11+2*DJ11</f>
        <v>112.2018454428156</v>
      </c>
    </row>
    <row r="12" spans="1:115" ht="12.75" x14ac:dyDescent="0.2">
      <c r="B12" s="30">
        <v>9</v>
      </c>
      <c r="C12" s="149" t="s">
        <v>104</v>
      </c>
      <c r="D12" s="150" t="s">
        <v>22</v>
      </c>
      <c r="F12" s="33">
        <v>1000</v>
      </c>
      <c r="G12" s="74" t="s">
        <v>300</v>
      </c>
      <c r="H12" s="74" t="s">
        <v>310</v>
      </c>
      <c r="I12" s="111">
        <v>5.7</v>
      </c>
      <c r="J12" s="111">
        <v>7.18</v>
      </c>
      <c r="K12" s="111">
        <v>1000</v>
      </c>
      <c r="L12" s="111">
        <v>207</v>
      </c>
      <c r="M12" s="5">
        <v>21</v>
      </c>
      <c r="N12" s="111">
        <v>0.34499999999999997</v>
      </c>
      <c r="O12" s="149">
        <v>3.9E-2</v>
      </c>
      <c r="Q12" s="151">
        <v>9.44</v>
      </c>
      <c r="R12" s="336">
        <f t="shared" si="12"/>
        <v>3.6546610169491525E-2</v>
      </c>
      <c r="S12" s="336">
        <f t="shared" si="13"/>
        <v>8.8461538461538449</v>
      </c>
      <c r="T12" s="34">
        <v>16.577999999999999</v>
      </c>
      <c r="U12" s="74">
        <v>3.1840000000000002</v>
      </c>
      <c r="V12" s="34">
        <v>10.525</v>
      </c>
      <c r="W12" s="74">
        <v>3.294</v>
      </c>
      <c r="X12" s="339">
        <v>189.29999999999998</v>
      </c>
      <c r="Y12" s="339">
        <v>228.2</v>
      </c>
      <c r="Z12" s="339">
        <v>162.5</v>
      </c>
      <c r="AA12" s="34"/>
      <c r="AB12" s="34"/>
      <c r="AC12" s="95"/>
      <c r="AD12" s="92"/>
      <c r="AE12" s="341">
        <v>11.939594084258477</v>
      </c>
      <c r="AF12" s="127">
        <v>6.8091025327473762</v>
      </c>
      <c r="AG12" s="341">
        <v>21.680891741294705</v>
      </c>
      <c r="AH12" s="127">
        <v>0.22660067325917024</v>
      </c>
      <c r="AI12" s="186">
        <v>0.05</v>
      </c>
      <c r="AJ12" s="111">
        <v>86</v>
      </c>
      <c r="AK12" s="111">
        <v>68</v>
      </c>
      <c r="AL12" s="111">
        <v>36</v>
      </c>
      <c r="AM12" s="1">
        <v>100.10043632885645</v>
      </c>
      <c r="AN12" s="54">
        <f t="shared" si="0"/>
        <v>18</v>
      </c>
      <c r="AO12" s="78">
        <f>AK12-AL12</f>
        <v>32</v>
      </c>
      <c r="AP12" s="125"/>
      <c r="AQ12" s="332">
        <f>+(5.5*(Q12))*(10^-(0.96+0.9*J12-0.039*((J12)^2)))/((10^-(0.96+0.9*J12-0.039*((J12)^2)))+(10^-J12))</f>
        <v>51.050132167962396</v>
      </c>
      <c r="AR12" s="332">
        <f>+(5.5*(Q12))*(10^-(0.96+0.9*4.5-0.039*((4.5)^2)))/((10^-(0.96+0.9*4.5-0.039*((4.5)^2)))+(10^-4.5))</f>
        <v>34.043453844079913</v>
      </c>
      <c r="AS12" s="59"/>
      <c r="AT12" s="35"/>
      <c r="AU12" s="23">
        <f>(10^-J12)*1000000</f>
        <v>6.6069344800759433E-2</v>
      </c>
      <c r="AV12" s="24">
        <f>(T12/40.078*1000)*2</f>
        <v>827.28679075802177</v>
      </c>
      <c r="AW12" s="24">
        <f>(U12/24.312*1000)*2</f>
        <v>261.92826587693321</v>
      </c>
      <c r="AX12" s="24">
        <f>(V12/22.99*1000)</f>
        <v>457.80774249673777</v>
      </c>
      <c r="AY12" s="24">
        <f>(W12/39.102*1000)</f>
        <v>84.241215283105731</v>
      </c>
      <c r="AZ12" s="24">
        <f>(AE12/96.064*1000)*2</f>
        <v>248.57582620458192</v>
      </c>
      <c r="BA12" s="24">
        <f>(AF12/62.0067*1000)</f>
        <v>109.81236757878384</v>
      </c>
      <c r="BB12" s="24">
        <f>(AG12/35.453*1000)</f>
        <v>611.53898799240415</v>
      </c>
      <c r="BC12" s="23">
        <f>(AH12/18.998)*1000</f>
        <v>11.927606761720719</v>
      </c>
      <c r="BD12" s="23">
        <f>+AL12/30.97*3</f>
        <v>3.4872457216661288</v>
      </c>
      <c r="BE12" s="25">
        <f>IF(J12&lt;5.5,0,K12-31.62+AU12)-(AQ12-AR12)</f>
        <v>951.43939102091826</v>
      </c>
      <c r="BF12" s="334">
        <f t="shared" si="14"/>
        <v>51.050132167962396</v>
      </c>
      <c r="BG12" s="26"/>
      <c r="BH12" s="25">
        <f t="shared" si="15"/>
        <v>-356.50147368843795</v>
      </c>
      <c r="BI12" s="145">
        <f t="shared" si="16"/>
        <v>-9.8503882675293006</v>
      </c>
      <c r="BJ12" s="102">
        <f t="shared" si="1"/>
        <v>1.3065924361485449E-3</v>
      </c>
      <c r="BK12" s="23">
        <f t="shared" si="17"/>
        <v>0.95844042471243052</v>
      </c>
      <c r="BL12" s="23">
        <f t="shared" si="18"/>
        <v>0.843840745341359</v>
      </c>
      <c r="BM12" s="44">
        <f t="shared" si="19"/>
        <v>0.79887623196356294</v>
      </c>
      <c r="BN12" s="102">
        <f t="shared" si="2"/>
        <v>6.332353089131189E-11</v>
      </c>
      <c r="BO12" s="102">
        <f t="shared" si="3"/>
        <v>3.4904915106215502E-7</v>
      </c>
      <c r="BP12" s="102">
        <f t="shared" si="4"/>
        <v>1.1051287155178049E-7</v>
      </c>
      <c r="BQ12" s="102">
        <f t="shared" si="5"/>
        <v>4.3878144715521241E-7</v>
      </c>
      <c r="BR12" s="102">
        <f t="shared" si="6"/>
        <v>8.0740186154231154E-8</v>
      </c>
      <c r="BS12" s="102">
        <f t="shared" si="7"/>
        <v>1.0487920522915926E-7</v>
      </c>
      <c r="BT12" s="102">
        <f t="shared" si="8"/>
        <v>5.8612368737964985E-7</v>
      </c>
      <c r="BU12" s="102">
        <f t="shared" si="9"/>
        <v>1.0524861222088712E-7</v>
      </c>
      <c r="BV12" s="45">
        <f t="shared" si="20"/>
        <v>9.1189797401822515E-7</v>
      </c>
      <c r="BW12" s="102">
        <f t="shared" si="10"/>
        <v>2.2137906399602638E-8</v>
      </c>
      <c r="BX12" s="102">
        <f t="shared" si="21"/>
        <v>4.153684897639645E-5</v>
      </c>
      <c r="BY12" s="102">
        <f t="shared" si="22"/>
        <v>1.1714364384488732E-5</v>
      </c>
      <c r="BZ12" s="102">
        <f t="shared" si="23"/>
        <v>2.1982950502476142E-5</v>
      </c>
      <c r="CA12" s="102">
        <f t="shared" si="24"/>
        <v>5.9344036823359899E-6</v>
      </c>
      <c r="CB12" s="102">
        <f t="shared" si="25"/>
        <v>1.6780672836665481E-5</v>
      </c>
      <c r="CC12" s="102">
        <f t="shared" si="26"/>
        <v>4.472123734706728E-5</v>
      </c>
      <c r="CD12" s="102">
        <f t="shared" si="27"/>
        <v>7.5147509125713409E-6</v>
      </c>
      <c r="CE12" s="45">
        <f t="shared" si="28"/>
        <v>4.0579459843811018E-5</v>
      </c>
      <c r="CF12" s="146">
        <f t="shared" si="11"/>
        <v>15.020736654840103</v>
      </c>
      <c r="CG12" s="146">
        <f>L12/10</f>
        <v>20.7</v>
      </c>
      <c r="CH12" s="24">
        <f t="shared" si="29"/>
        <v>5.6792633451598959</v>
      </c>
      <c r="CI12" s="27">
        <f t="shared" si="30"/>
        <v>27.436054807535726</v>
      </c>
      <c r="CS12" s="48">
        <v>2.4</v>
      </c>
      <c r="CT12" s="49">
        <f t="shared" si="31"/>
        <v>3.9810717055349717E-3</v>
      </c>
      <c r="CU12" s="49">
        <v>3.1622776601683798E-2</v>
      </c>
      <c r="CV12" s="49">
        <f t="shared" si="32"/>
        <v>1.2589254117941672E-4</v>
      </c>
      <c r="CW12" s="49">
        <v>5.0118723362727197E-7</v>
      </c>
      <c r="CX12" s="49">
        <f>+((CW12/(10^(-J12)))*CV12)*1000000</f>
        <v>954.99258602143777</v>
      </c>
      <c r="CY12" s="49">
        <v>5.6234132519034893E-11</v>
      </c>
      <c r="CZ12" s="49">
        <f>+(((CW12*CY12)/(10^(-J12)))*CV12)*1000000</f>
        <v>5.3703179637025357E-8</v>
      </c>
      <c r="DA12" s="99">
        <f>+CX12+2*CZ12</f>
        <v>954.9925861288441</v>
      </c>
      <c r="DB12" s="108"/>
      <c r="DC12" s="48">
        <v>3.42</v>
      </c>
      <c r="DD12" s="49">
        <f t="shared" si="37"/>
        <v>3.8018939632056113E-4</v>
      </c>
      <c r="DE12" s="49">
        <v>3.1622776601683798E-2</v>
      </c>
      <c r="DF12" s="49">
        <f t="shared" si="38"/>
        <v>1.2022644346174128E-5</v>
      </c>
      <c r="DG12" s="49">
        <v>5.0118723362727197E-7</v>
      </c>
      <c r="DH12" s="49">
        <f t="shared" si="35"/>
        <v>91.201083935591157</v>
      </c>
      <c r="DI12" s="49">
        <v>5.6234132519034893E-11</v>
      </c>
      <c r="DJ12" s="49">
        <f t="shared" si="36"/>
        <v>5.1286138399136567E-9</v>
      </c>
      <c r="DK12" s="99">
        <f>+DH12+2*DJ12</f>
        <v>91.201083945848382</v>
      </c>
    </row>
    <row r="13" spans="1:115" ht="12.75" x14ac:dyDescent="0.2">
      <c r="B13" s="30">
        <v>10</v>
      </c>
      <c r="C13" s="149" t="s">
        <v>107</v>
      </c>
      <c r="D13" s="150" t="s">
        <v>22</v>
      </c>
      <c r="F13" s="33">
        <v>1000</v>
      </c>
      <c r="G13" s="74" t="s">
        <v>301</v>
      </c>
      <c r="H13" s="74" t="s">
        <v>311</v>
      </c>
      <c r="I13" s="111">
        <v>2.5499999999999998</v>
      </c>
      <c r="J13" s="111">
        <v>6.21</v>
      </c>
      <c r="K13" s="111">
        <v>230</v>
      </c>
      <c r="L13" s="111">
        <v>51.9</v>
      </c>
      <c r="M13" s="5">
        <v>20.100000000000001</v>
      </c>
      <c r="N13" s="111">
        <v>0.52700000000000002</v>
      </c>
      <c r="O13" s="149">
        <v>6.4000000000000001E-2</v>
      </c>
      <c r="Q13" s="151">
        <v>13.27</v>
      </c>
      <c r="R13" s="336">
        <f t="shared" si="12"/>
        <v>3.9713639788997744E-2</v>
      </c>
      <c r="S13" s="336">
        <f t="shared" si="13"/>
        <v>8.234375</v>
      </c>
      <c r="T13" s="74">
        <v>3.726</v>
      </c>
      <c r="U13" s="74">
        <v>0.84060000000000001</v>
      </c>
      <c r="V13" s="74">
        <v>4.4210000000000003</v>
      </c>
      <c r="W13" s="74">
        <v>0.77400000000000002</v>
      </c>
      <c r="X13" s="339">
        <v>199.7</v>
      </c>
      <c r="Y13" s="339">
        <v>241.2</v>
      </c>
      <c r="Z13" s="74">
        <v>59.1</v>
      </c>
      <c r="AA13" s="34"/>
      <c r="AB13" s="34"/>
      <c r="AC13" s="95"/>
      <c r="AD13" s="92"/>
      <c r="AE13" s="127">
        <v>2.8548652850810035</v>
      </c>
      <c r="AF13" s="144">
        <v>0.27283954139291977</v>
      </c>
      <c r="AG13" s="127">
        <v>6.314612036105272</v>
      </c>
      <c r="AH13" s="127">
        <v>9.8711560439925294E-2</v>
      </c>
      <c r="AI13" s="186">
        <v>0.05</v>
      </c>
      <c r="AJ13" s="111">
        <v>33</v>
      </c>
      <c r="AK13" s="111">
        <v>23</v>
      </c>
      <c r="AL13" s="111">
        <v>6</v>
      </c>
      <c r="AM13" s="1">
        <v>46.453248822412547</v>
      </c>
      <c r="AN13" s="54">
        <f t="shared" si="0"/>
        <v>10</v>
      </c>
      <c r="AO13" s="78">
        <f>AK13-AL13</f>
        <v>17</v>
      </c>
      <c r="AP13" s="125"/>
      <c r="AQ13" s="332">
        <f>+(5.5*(Q13))*(10^-(0.96+0.9*J13-0.039*((J13)^2)))/((10^-(0.96+0.9*J13-0.039*((J13)^2)))+(10^-J13))</f>
        <v>68.312993717803991</v>
      </c>
      <c r="AR13" s="332">
        <f>+(5.5*(Q13))*(10^-(0.96+0.9*4.5-0.039*((4.5)^2)))/((10^-(0.96+0.9*4.5-0.039*((4.5)^2)))+(10^-4.5))</f>
        <v>47.855575477853861</v>
      </c>
      <c r="AS13" s="59"/>
      <c r="AT13" s="35"/>
      <c r="AU13" s="23">
        <f>(10^-J13)*1000000</f>
        <v>0.61659500186148142</v>
      </c>
      <c r="AV13" s="24">
        <f>(T13/40.078*1000)*2</f>
        <v>185.93742202704723</v>
      </c>
      <c r="AW13" s="24">
        <f>(U13/24.312*1000)*2</f>
        <v>69.151036525172756</v>
      </c>
      <c r="AX13" s="24">
        <f>(V13/22.99*1000)</f>
        <v>192.30100043497174</v>
      </c>
      <c r="AY13" s="24">
        <f>(W13/39.102*1000)</f>
        <v>19.794383918981129</v>
      </c>
      <c r="AZ13" s="24">
        <f>(AE13/96.064*1000)*2</f>
        <v>59.436735615443951</v>
      </c>
      <c r="BA13" s="24">
        <f>(AF13/62.0067*1000)</f>
        <v>4.4001622629960915</v>
      </c>
      <c r="BB13" s="24">
        <f>(AG13/35.453*1000)</f>
        <v>178.11220590938063</v>
      </c>
      <c r="BC13" s="23">
        <f>(AH13/18.998)*1000</f>
        <v>5.195892222335261</v>
      </c>
      <c r="BD13" s="23">
        <f>+AL13/30.97*3</f>
        <v>0.58120762027768813</v>
      </c>
      <c r="BE13" s="25">
        <f>IF(J13&lt;5.5,0,K13-31.62+AU13)-(AQ13-AR13)</f>
        <v>178.53917676191134</v>
      </c>
      <c r="BF13" s="334">
        <f t="shared" si="14"/>
        <v>68.312993717803991</v>
      </c>
      <c r="BG13" s="26"/>
      <c r="BH13" s="25">
        <f t="shared" si="15"/>
        <v>-26.777936202114574</v>
      </c>
      <c r="BI13" s="145">
        <f t="shared" si="16"/>
        <v>-2.7824735818901871</v>
      </c>
      <c r="BJ13" s="102">
        <f t="shared" si="1"/>
        <v>3.5747271695909513E-4</v>
      </c>
      <c r="BK13" s="23">
        <f t="shared" si="17"/>
        <v>0.97804188962194261</v>
      </c>
      <c r="BL13" s="23">
        <f t="shared" si="18"/>
        <v>0.9150183934649132</v>
      </c>
      <c r="BM13" s="44">
        <f t="shared" si="19"/>
        <v>0.88918257326271921</v>
      </c>
      <c r="BN13" s="102">
        <f t="shared" si="2"/>
        <v>6.0305574075204855E-10</v>
      </c>
      <c r="BO13" s="102">
        <f t="shared" si="3"/>
        <v>8.5068080594098166E-8</v>
      </c>
      <c r="BP13" s="102">
        <f t="shared" si="4"/>
        <v>3.1637235173848555E-8</v>
      </c>
      <c r="BQ13" s="102">
        <f t="shared" si="5"/>
        <v>1.880784338416098E-7</v>
      </c>
      <c r="BR13" s="102">
        <f t="shared" si="6"/>
        <v>1.9359736652022499E-8</v>
      </c>
      <c r="BS13" s="102">
        <f t="shared" si="7"/>
        <v>2.7192853167821156E-8</v>
      </c>
      <c r="BT13" s="102">
        <f t="shared" si="8"/>
        <v>1.7420119843234318E-7</v>
      </c>
      <c r="BU13" s="102">
        <f t="shared" si="9"/>
        <v>4.303543014343861E-9</v>
      </c>
      <c r="BV13" s="45">
        <f t="shared" si="20"/>
        <v>1.746187938117658E-7</v>
      </c>
      <c r="BW13" s="102">
        <f t="shared" si="10"/>
        <v>2.1082828696691619E-7</v>
      </c>
      <c r="BX13" s="102">
        <f t="shared" si="21"/>
        <v>1.0123101590697681E-5</v>
      </c>
      <c r="BY13" s="102">
        <f t="shared" si="22"/>
        <v>3.353546928427947E-6</v>
      </c>
      <c r="BZ13" s="102">
        <f t="shared" si="23"/>
        <v>9.4227295354646506E-6</v>
      </c>
      <c r="CA13" s="102">
        <f t="shared" si="24"/>
        <v>1.4229406439236535E-6</v>
      </c>
      <c r="CB13" s="102">
        <f t="shared" si="25"/>
        <v>4.3508565068513847E-6</v>
      </c>
      <c r="CC13" s="102">
        <f t="shared" si="26"/>
        <v>1.3291551440387784E-5</v>
      </c>
      <c r="CD13" s="102">
        <f t="shared" si="27"/>
        <v>3.0727297122415171E-7</v>
      </c>
      <c r="CE13" s="45">
        <f t="shared" si="28"/>
        <v>7.7705363246235776E-6</v>
      </c>
      <c r="CF13" s="146">
        <f t="shared" si="11"/>
        <v>4.248282790394418</v>
      </c>
      <c r="CG13" s="146">
        <f>L13/10</f>
        <v>5.1899999999999995</v>
      </c>
      <c r="CH13" s="24">
        <f t="shared" si="29"/>
        <v>0.94171720960558147</v>
      </c>
      <c r="CI13" s="27">
        <f t="shared" si="30"/>
        <v>18.144840262149934</v>
      </c>
      <c r="CS13" s="48">
        <v>2.15</v>
      </c>
      <c r="CT13" s="49">
        <f t="shared" si="31"/>
        <v>7.0794578438413795E-3</v>
      </c>
      <c r="CU13" s="49">
        <v>3.1622776601683798E-2</v>
      </c>
      <c r="CV13" s="49">
        <f t="shared" si="32"/>
        <v>2.2387211385683402E-4</v>
      </c>
      <c r="CW13" s="49">
        <v>5.0118723362727197E-7</v>
      </c>
      <c r="CX13" s="49">
        <f>+((CW13/(10^(-J13)))*CV13)*1000000</f>
        <v>181.97008586099849</v>
      </c>
      <c r="CY13" s="49">
        <v>5.6234132519034893E-11</v>
      </c>
      <c r="CZ13" s="49">
        <f>+(((CW13*CY13)/(10^(-J13)))*CV13)*1000000</f>
        <v>1.0232929922807546E-8</v>
      </c>
      <c r="DA13" s="99">
        <f>+CX13+2*CZ13</f>
        <v>181.97008588146434</v>
      </c>
      <c r="DB13" s="108"/>
      <c r="DC13" s="48">
        <v>3.42</v>
      </c>
      <c r="DD13" s="49">
        <f t="shared" si="37"/>
        <v>3.8018939632056113E-4</v>
      </c>
      <c r="DE13" s="49">
        <v>3.1622776601683798E-2</v>
      </c>
      <c r="DF13" s="49">
        <f t="shared" si="38"/>
        <v>1.2022644346174128E-5</v>
      </c>
      <c r="DG13" s="49">
        <v>5.0118723362727197E-7</v>
      </c>
      <c r="DH13" s="49">
        <f t="shared" si="35"/>
        <v>9.7723722095581103</v>
      </c>
      <c r="DI13" s="49">
        <v>5.6234132519034893E-11</v>
      </c>
      <c r="DJ13" s="49">
        <f t="shared" si="36"/>
        <v>5.4954087385762461E-10</v>
      </c>
      <c r="DK13" s="99">
        <f>+DH13+2*DJ13</f>
        <v>9.772372210657192</v>
      </c>
    </row>
    <row r="14" spans="1:115" ht="12.75" x14ac:dyDescent="0.2">
      <c r="B14" s="133">
        <v>11</v>
      </c>
      <c r="C14" s="149" t="s">
        <v>147</v>
      </c>
      <c r="D14" s="150" t="s">
        <v>22</v>
      </c>
      <c r="E14" s="134"/>
      <c r="F14" s="33">
        <v>1000</v>
      </c>
      <c r="G14" s="74" t="s">
        <v>302</v>
      </c>
      <c r="H14" s="74" t="s">
        <v>312</v>
      </c>
      <c r="I14" s="111">
        <v>0</v>
      </c>
      <c r="J14" s="111">
        <v>5.56</v>
      </c>
      <c r="K14" s="111">
        <v>130</v>
      </c>
      <c r="L14" s="111">
        <v>31.5</v>
      </c>
      <c r="M14" s="5">
        <v>21.3</v>
      </c>
      <c r="N14" s="111">
        <v>0.82799999999999996</v>
      </c>
      <c r="O14" s="149">
        <v>0.114</v>
      </c>
      <c r="P14" s="126"/>
      <c r="Q14" s="151">
        <v>18.75</v>
      </c>
      <c r="R14" s="336">
        <f t="shared" si="12"/>
        <v>4.4159999999999998E-2</v>
      </c>
      <c r="S14" s="336">
        <f t="shared" si="13"/>
        <v>7.2631578947368416</v>
      </c>
      <c r="T14" s="74">
        <v>3.069</v>
      </c>
      <c r="U14" s="74">
        <v>0.6643</v>
      </c>
      <c r="V14" s="74">
        <v>1.8480000000000001</v>
      </c>
      <c r="W14" s="74">
        <v>0.40989999999999999</v>
      </c>
      <c r="X14" s="339">
        <v>384.2</v>
      </c>
      <c r="Y14" s="339">
        <v>368.59999999999997</v>
      </c>
      <c r="Z14" s="74">
        <v>28</v>
      </c>
      <c r="AA14" s="34"/>
      <c r="AB14" s="34"/>
      <c r="AC14" s="95"/>
      <c r="AD14" s="92"/>
      <c r="AE14" s="127">
        <v>2.6789276701886631</v>
      </c>
      <c r="AF14" s="127">
        <v>0.14449412034733325</v>
      </c>
      <c r="AG14" s="127">
        <v>2.3677130403632041</v>
      </c>
      <c r="AH14" s="127">
        <v>5.9945649341750527E-2</v>
      </c>
      <c r="AI14" s="127">
        <v>0.19251404498450131</v>
      </c>
      <c r="AJ14" s="111">
        <v>22</v>
      </c>
      <c r="AK14" s="111">
        <v>10</v>
      </c>
      <c r="AL14" s="111">
        <v>3</v>
      </c>
      <c r="AM14" s="1">
        <v>25.636292853420876</v>
      </c>
      <c r="AN14" s="54">
        <f t="shared" si="0"/>
        <v>12</v>
      </c>
      <c r="AO14" s="78">
        <f>AK14-AL14</f>
        <v>7</v>
      </c>
      <c r="AP14" s="125"/>
      <c r="AQ14" s="332">
        <f>+(5.5*(Q14))*(10^-(0.96+0.9*J14-0.039*((J14)^2)))/((10^-(0.96+0.9*J14-0.039*((J14)^2)))+(10^-J14))</f>
        <v>89.062445574212532</v>
      </c>
      <c r="AR14" s="332">
        <f>+(5.5*(Q14))*(10^-(0.96+0.9*4.5-0.039*((4.5)^2)))/((10^-(0.96+0.9*4.5-0.039*((4.5)^2)))+(10^-4.5))</f>
        <v>67.618088938188393</v>
      </c>
      <c r="AS14" s="59"/>
      <c r="AT14" s="35"/>
      <c r="AU14" s="23">
        <f>(10^-J14)*1000000</f>
        <v>2.7542287033381663</v>
      </c>
      <c r="AV14" s="24">
        <f>(T14/40.078*1000)*2</f>
        <v>153.15135485802682</v>
      </c>
      <c r="AW14" s="24">
        <f>(U14/24.312*1000)*2</f>
        <v>54.647910496873969</v>
      </c>
      <c r="AX14" s="24">
        <f>(V14/22.99*1000)</f>
        <v>80.382775119617236</v>
      </c>
      <c r="AY14" s="24">
        <f>(W14/39.102*1000)</f>
        <v>10.482839752442331</v>
      </c>
      <c r="AZ14" s="24">
        <f>(AE14/96.064*1000)*2</f>
        <v>55.773810588538126</v>
      </c>
      <c r="BA14" s="24">
        <f>(AF14/62.0067*1000)</f>
        <v>2.3302985056023502</v>
      </c>
      <c r="BB14" s="24">
        <f>(AG14/35.453*1000)</f>
        <v>66.784560978286862</v>
      </c>
      <c r="BC14" s="23">
        <f>(AH14/18.998)*1000</f>
        <v>3.1553663197047332</v>
      </c>
      <c r="BD14" s="23">
        <f>+AL14/30.97*3</f>
        <v>0.29060381013884407</v>
      </c>
      <c r="BE14" s="25">
        <f>IF(J14&lt;5.5,0,K14-31.62+AU14)-(AQ14-AR14)</f>
        <v>79.689872067314028</v>
      </c>
      <c r="BF14" s="334">
        <f t="shared" si="14"/>
        <v>89.062445574212532</v>
      </c>
      <c r="BG14" s="26"/>
      <c r="BH14" s="25">
        <f t="shared" si="15"/>
        <v>4.3321510865010282</v>
      </c>
      <c r="BI14" s="145">
        <f t="shared" si="16"/>
        <v>0.72382743083140433</v>
      </c>
      <c r="BJ14" s="102">
        <f t="shared" si="1"/>
        <v>2.1473157266121528E-4</v>
      </c>
      <c r="BK14" s="23">
        <f t="shared" si="17"/>
        <v>0.98293907882222165</v>
      </c>
      <c r="BL14" s="23">
        <f t="shared" si="18"/>
        <v>0.93348298616949377</v>
      </c>
      <c r="BM14" s="44">
        <f t="shared" si="19"/>
        <v>0.91298937417622483</v>
      </c>
      <c r="BN14" s="102">
        <f t="shared" si="2"/>
        <v>2.707239024524939E-9</v>
      </c>
      <c r="BO14" s="102">
        <f t="shared" si="3"/>
        <v>7.1482092034387335E-8</v>
      </c>
      <c r="BP14" s="102">
        <f t="shared" si="4"/>
        <v>2.5506447339272569E-8</v>
      </c>
      <c r="BQ14" s="102">
        <f t="shared" si="5"/>
        <v>7.901137092925037E-8</v>
      </c>
      <c r="BR14" s="102">
        <f t="shared" si="6"/>
        <v>1.0303992849706631E-8</v>
      </c>
      <c r="BS14" s="102">
        <f t="shared" si="7"/>
        <v>2.6031951629120151E-8</v>
      </c>
      <c r="BT14" s="102">
        <f t="shared" si="8"/>
        <v>6.564515484754378E-8</v>
      </c>
      <c r="BU14" s="102">
        <f t="shared" si="9"/>
        <v>2.2905414664775737E-9</v>
      </c>
      <c r="BV14" s="45">
        <f t="shared" si="20"/>
        <v>7.8330289441306353E-8</v>
      </c>
      <c r="BW14" s="102">
        <f t="shared" si="10"/>
        <v>9.4645076297391877E-7</v>
      </c>
      <c r="BX14" s="102">
        <f t="shared" si="21"/>
        <v>8.5063689520920933E-6</v>
      </c>
      <c r="BY14" s="102">
        <f t="shared" si="22"/>
        <v>2.7036834179628922E-6</v>
      </c>
      <c r="BZ14" s="102">
        <f t="shared" si="23"/>
        <v>3.9584696835554432E-6</v>
      </c>
      <c r="CA14" s="102">
        <f t="shared" si="24"/>
        <v>7.5734347445343736E-7</v>
      </c>
      <c r="CB14" s="102">
        <f t="shared" si="25"/>
        <v>4.1651122606592239E-6</v>
      </c>
      <c r="CC14" s="102">
        <f t="shared" si="26"/>
        <v>5.0087253148675906E-6</v>
      </c>
      <c r="CD14" s="102">
        <f t="shared" si="27"/>
        <v>1.6354466070649878E-7</v>
      </c>
      <c r="CE14" s="45">
        <f t="shared" si="28"/>
        <v>3.4856978801381327E-6</v>
      </c>
      <c r="CF14" s="24">
        <f t="shared" si="11"/>
        <v>2.6209698527271104</v>
      </c>
      <c r="CG14" s="24">
        <f>L14/10</f>
        <v>3.15</v>
      </c>
      <c r="CH14" s="24">
        <f t="shared" si="29"/>
        <v>0.52903014727288955</v>
      </c>
      <c r="CI14" s="27">
        <f t="shared" si="30"/>
        <v>16.794607849933001</v>
      </c>
      <c r="CS14" s="48">
        <v>1.85</v>
      </c>
      <c r="CT14" s="49">
        <f t="shared" si="31"/>
        <v>1.4125375446227528E-2</v>
      </c>
      <c r="CU14" s="49">
        <v>3.1622776601683798E-2</v>
      </c>
      <c r="CV14" s="49">
        <f t="shared" si="32"/>
        <v>4.4668359215096272E-4</v>
      </c>
      <c r="CW14" s="49">
        <v>5.0118723362727197E-7</v>
      </c>
      <c r="CX14" s="49">
        <f>+((CW14/(10^(-J14)))*CV14)*1000000</f>
        <v>81.283051616409807</v>
      </c>
      <c r="CY14" s="49">
        <v>5.6234132519034893E-11</v>
      </c>
      <c r="CZ14" s="49">
        <f>+(((CW14*CY14)/(10^(-J14)))*CV14)*1000000</f>
        <v>4.5708818961487418E-9</v>
      </c>
      <c r="DA14" s="99">
        <f>+CX14+2*CZ14</f>
        <v>81.283051625551565</v>
      </c>
      <c r="DB14" s="108"/>
      <c r="DC14" s="48">
        <v>3.42</v>
      </c>
      <c r="DD14" s="49">
        <f t="shared" si="37"/>
        <v>3.8018939632056113E-4</v>
      </c>
      <c r="DE14" s="49">
        <v>3.1622776601683798E-2</v>
      </c>
      <c r="DF14" s="49">
        <f t="shared" si="38"/>
        <v>1.2022644346174128E-5</v>
      </c>
      <c r="DG14" s="49">
        <v>5.0118723362727197E-7</v>
      </c>
      <c r="DH14" s="49">
        <f t="shared" si="35"/>
        <v>2.1877616239495512</v>
      </c>
      <c r="DI14" s="49">
        <v>5.6234132519034893E-11</v>
      </c>
      <c r="DJ14" s="49">
        <f t="shared" si="36"/>
        <v>1.2302687708123804E-10</v>
      </c>
      <c r="DK14" s="99">
        <f>+DH14+2*DJ14</f>
        <v>2.187761624195605</v>
      </c>
    </row>
    <row r="15" spans="1:115" x14ac:dyDescent="0.25">
      <c r="A15" s="132"/>
      <c r="B15" s="135"/>
      <c r="C15" s="111"/>
      <c r="D15" s="111"/>
      <c r="E15" s="136"/>
      <c r="F15" s="43"/>
      <c r="Q15" s="121"/>
      <c r="T15" s="121"/>
      <c r="U15" s="121"/>
      <c r="V15" s="121"/>
      <c r="W15" s="121"/>
      <c r="X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K15" s="32"/>
      <c r="AM15" s="5"/>
      <c r="AO15" s="5"/>
      <c r="AP15" s="5"/>
      <c r="AQ15" s="5"/>
      <c r="A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1:115" x14ac:dyDescent="0.25">
      <c r="A16" s="132"/>
      <c r="B16" s="135"/>
      <c r="C16" s="111"/>
      <c r="D16" s="111"/>
      <c r="E16" s="136"/>
      <c r="F16" s="43"/>
      <c r="Q16" s="121"/>
      <c r="T16" s="121"/>
      <c r="U16" s="121"/>
      <c r="V16" s="121"/>
      <c r="W16" s="121"/>
      <c r="X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K16" s="32"/>
      <c r="AM16" s="5"/>
      <c r="AO16" s="5"/>
      <c r="AP16" s="5"/>
      <c r="AQ16" s="5"/>
      <c r="A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5" x14ac:dyDescent="0.25">
      <c r="A17" s="132"/>
      <c r="B17" s="135"/>
      <c r="C17" s="111"/>
      <c r="D17" s="111"/>
      <c r="E17" s="136"/>
      <c r="F17" s="5"/>
      <c r="G17" s="5"/>
      <c r="H17" s="64"/>
      <c r="I17" s="67"/>
      <c r="J17" s="70"/>
      <c r="K17" s="73"/>
      <c r="Q17" s="121"/>
      <c r="T17" s="121"/>
      <c r="U17" s="121"/>
      <c r="V17" s="121"/>
      <c r="W17" s="121"/>
      <c r="X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K17" s="32"/>
      <c r="AM17" s="5"/>
      <c r="AO17" s="5"/>
      <c r="AP17" s="5"/>
      <c r="AQ17" s="5"/>
      <c r="A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1:105" x14ac:dyDescent="0.25">
      <c r="A18" s="132"/>
      <c r="B18" s="135"/>
      <c r="C18" s="111"/>
      <c r="D18" s="111"/>
      <c r="E18" s="136"/>
      <c r="F18" s="5"/>
      <c r="G18" s="5"/>
      <c r="H18" s="64"/>
      <c r="I18" s="67"/>
      <c r="J18" s="70"/>
      <c r="K18" s="73"/>
      <c r="Q18" s="121"/>
      <c r="T18" s="121"/>
      <c r="U18" s="121"/>
      <c r="V18" s="121"/>
      <c r="W18" s="121"/>
      <c r="X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K18" s="121"/>
      <c r="AM18" s="5"/>
      <c r="AO18" s="5"/>
      <c r="AP18" s="5"/>
      <c r="AQ18" s="5"/>
      <c r="AR18" s="5"/>
      <c r="CS18" s="5"/>
      <c r="CT18" s="5"/>
      <c r="CU18" s="5"/>
      <c r="CV18" s="5"/>
      <c r="CW18" s="5"/>
      <c r="CX18" s="5"/>
      <c r="CY18" s="5"/>
      <c r="CZ18" s="5"/>
      <c r="DA18" s="5"/>
    </row>
    <row r="19" spans="1:105" x14ac:dyDescent="0.25">
      <c r="A19" s="132"/>
      <c r="B19" s="135"/>
      <c r="C19" s="111"/>
      <c r="D19" s="111"/>
      <c r="E19" s="136"/>
      <c r="F19" s="5"/>
      <c r="G19" s="5"/>
      <c r="H19" s="64"/>
      <c r="I19" s="67"/>
      <c r="J19" s="70"/>
      <c r="K19" s="73"/>
      <c r="Q19" s="121"/>
      <c r="T19" s="121"/>
      <c r="U19" s="121"/>
      <c r="V19" s="121"/>
      <c r="W19" s="121"/>
      <c r="X19" s="121"/>
      <c r="Z19" s="121"/>
      <c r="AA19" s="121"/>
      <c r="AB19" s="121"/>
      <c r="AC19" s="121"/>
      <c r="AD19" s="121"/>
      <c r="AE19" s="79"/>
      <c r="AF19" s="79"/>
      <c r="AG19" s="79"/>
      <c r="AH19" s="79"/>
      <c r="AI19" s="79"/>
      <c r="AJ19" s="79"/>
      <c r="AK19" s="79"/>
      <c r="AM19" s="5"/>
      <c r="AO19" s="5"/>
      <c r="AP19" s="5"/>
      <c r="AQ19" s="5"/>
      <c r="AT19" s="111" t="str">
        <f>C4</f>
        <v>Lutvann</v>
      </c>
      <c r="AU19" s="104">
        <f>AU4</f>
        <v>3.4673685045253172E-2</v>
      </c>
      <c r="AV19" s="4">
        <f>AV4</f>
        <v>275.81216627576225</v>
      </c>
      <c r="AW19" s="1">
        <f>AW4</f>
        <v>92.300098716683124</v>
      </c>
      <c r="AX19" s="1">
        <f>AX4</f>
        <v>80.991735537190095</v>
      </c>
      <c r="AY19" s="104">
        <f>AY4</f>
        <v>13.249961638790856</v>
      </c>
      <c r="CS19" s="5"/>
      <c r="CT19" s="5"/>
      <c r="CU19" s="5"/>
      <c r="CV19" s="5"/>
      <c r="CW19" s="5"/>
      <c r="CX19" s="5"/>
      <c r="CY19" s="5"/>
      <c r="CZ19" s="5"/>
      <c r="DA19" s="5"/>
    </row>
    <row r="20" spans="1:105" s="74" customFormat="1" x14ac:dyDescent="0.25">
      <c r="A20" s="132"/>
      <c r="B20" s="135"/>
      <c r="C20" s="111"/>
      <c r="D20" s="111"/>
      <c r="E20" s="136"/>
      <c r="F20" s="5"/>
      <c r="G20" s="5"/>
      <c r="H20" s="64"/>
      <c r="I20" s="67"/>
      <c r="J20" s="70"/>
      <c r="K20" s="73"/>
      <c r="N20" s="59"/>
      <c r="O20" s="59"/>
      <c r="P20" s="59"/>
      <c r="Q20" s="121"/>
      <c r="R20" s="121"/>
      <c r="S20" s="121"/>
      <c r="T20" s="121"/>
      <c r="U20" s="121"/>
      <c r="V20" s="121"/>
      <c r="W20" s="121"/>
      <c r="X20" s="121"/>
      <c r="Y20" s="2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32"/>
      <c r="AM20" s="5"/>
      <c r="AN20" s="32"/>
      <c r="AO20" s="5"/>
      <c r="AP20" s="5"/>
      <c r="AQ20" s="5"/>
      <c r="AS20" s="1"/>
      <c r="AU20" s="104"/>
      <c r="AV20" s="4"/>
      <c r="AW20" s="1"/>
      <c r="AX20" s="104"/>
      <c r="AY20" s="104"/>
      <c r="AZ20" s="1">
        <f t="shared" ref="AZ20:BF20" si="39">AZ4</f>
        <v>157.31457183503733</v>
      </c>
      <c r="BA20" s="1">
        <f t="shared" si="39"/>
        <v>3.4001028395335209</v>
      </c>
      <c r="BB20" s="1">
        <f t="shared" si="39"/>
        <v>69.382641796524268</v>
      </c>
      <c r="BC20" s="1">
        <f t="shared" si="39"/>
        <v>2.7744544499303436</v>
      </c>
      <c r="BD20" s="1">
        <f t="shared" si="39"/>
        <v>0.96867936712948011</v>
      </c>
      <c r="BE20" s="4">
        <f t="shared" si="39"/>
        <v>234.32400067016667</v>
      </c>
      <c r="BF20" s="1">
        <f t="shared" si="39"/>
        <v>12.136324024003823</v>
      </c>
      <c r="BG20" s="1"/>
      <c r="BH20" s="3"/>
      <c r="BI20" s="3"/>
      <c r="BJ20" s="103"/>
      <c r="BK20" s="2"/>
      <c r="BL20" s="2"/>
      <c r="BM20" s="3"/>
      <c r="BN20" s="103"/>
      <c r="BO20" s="103"/>
      <c r="BP20" s="103"/>
      <c r="BQ20" s="103"/>
      <c r="BR20" s="103"/>
      <c r="BS20" s="103"/>
      <c r="BT20" s="103"/>
      <c r="BU20" s="103"/>
      <c r="BV20" s="3"/>
      <c r="BW20" s="103"/>
      <c r="BX20" s="103"/>
      <c r="BY20" s="103"/>
      <c r="BZ20" s="103"/>
      <c r="CA20" s="103"/>
      <c r="CB20" s="103"/>
      <c r="CC20" s="103"/>
      <c r="CD20" s="103"/>
      <c r="CE20" s="3"/>
      <c r="CF20" s="107"/>
      <c r="CG20" s="108"/>
      <c r="CH20" s="108"/>
      <c r="CS20" s="5"/>
      <c r="CT20" s="5"/>
      <c r="CU20" s="5"/>
      <c r="CV20" s="5"/>
      <c r="CW20" s="5"/>
      <c r="CX20" s="5"/>
      <c r="CY20" s="5"/>
      <c r="CZ20" s="5"/>
      <c r="DA20" s="5"/>
    </row>
    <row r="21" spans="1:105" s="74" customFormat="1" x14ac:dyDescent="0.25">
      <c r="A21" s="132"/>
      <c r="B21" s="135"/>
      <c r="C21" s="111"/>
      <c r="D21" s="111"/>
      <c r="E21" s="136"/>
      <c r="F21" s="5"/>
      <c r="G21" s="5"/>
      <c r="H21" s="64"/>
      <c r="I21" s="67"/>
      <c r="J21" s="70"/>
      <c r="K21" s="73"/>
      <c r="N21" s="59"/>
      <c r="O21" s="59"/>
      <c r="P21" s="59"/>
      <c r="Q21" s="121"/>
      <c r="R21" s="121"/>
      <c r="S21" s="121"/>
      <c r="T21" s="121"/>
      <c r="U21" s="121"/>
      <c r="V21" s="121"/>
      <c r="W21" s="121"/>
      <c r="X21" s="121"/>
      <c r="Y21" s="2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32"/>
      <c r="AM21" s="5"/>
      <c r="AN21" s="32"/>
      <c r="AO21" s="5"/>
      <c r="AP21" s="5"/>
      <c r="AQ21" s="5"/>
      <c r="AS21" s="1"/>
      <c r="AU21" s="104"/>
      <c r="AV21" s="4"/>
      <c r="AW21" s="1"/>
      <c r="AX21" s="104"/>
      <c r="AY21" s="104"/>
      <c r="AZ21" s="1"/>
      <c r="BA21" s="1"/>
      <c r="BB21" s="1"/>
      <c r="BC21" s="1"/>
      <c r="BD21" s="1"/>
      <c r="BE21" s="4"/>
      <c r="BF21" s="1"/>
      <c r="BG21" s="1"/>
      <c r="BH21" s="3"/>
      <c r="BI21" s="3"/>
      <c r="BJ21" s="103"/>
      <c r="BK21" s="2"/>
      <c r="BL21" s="2"/>
      <c r="BM21" s="3"/>
      <c r="BN21" s="103"/>
      <c r="BO21" s="103"/>
      <c r="BP21" s="103"/>
      <c r="BQ21" s="103"/>
      <c r="BR21" s="103"/>
      <c r="BS21" s="103"/>
      <c r="BT21" s="103"/>
      <c r="BU21" s="103"/>
      <c r="BV21" s="3"/>
      <c r="BW21" s="103"/>
      <c r="BX21" s="103"/>
      <c r="BY21" s="103"/>
      <c r="BZ21" s="103"/>
      <c r="CA21" s="103"/>
      <c r="CB21" s="103"/>
      <c r="CC21" s="103"/>
      <c r="CD21" s="103"/>
      <c r="CE21" s="3"/>
      <c r="CF21" s="107"/>
      <c r="CG21" s="108"/>
      <c r="CH21" s="108"/>
      <c r="CS21" s="5"/>
      <c r="CT21" s="5"/>
      <c r="CU21" s="5"/>
      <c r="CV21" s="5"/>
      <c r="CW21" s="5"/>
      <c r="CX21" s="5"/>
      <c r="CY21" s="5"/>
      <c r="CZ21" s="5"/>
      <c r="DA21" s="5"/>
    </row>
    <row r="22" spans="1:105" x14ac:dyDescent="0.25">
      <c r="A22" s="132"/>
      <c r="B22" s="135"/>
      <c r="C22" s="111"/>
      <c r="D22" s="111"/>
      <c r="E22" s="136"/>
      <c r="F22" s="5"/>
      <c r="G22" s="5"/>
      <c r="H22" s="64"/>
      <c r="I22" s="67"/>
      <c r="J22" s="70"/>
      <c r="K22" s="73"/>
      <c r="Q22" s="121"/>
      <c r="T22" s="121"/>
      <c r="U22" s="121"/>
      <c r="V22" s="121"/>
      <c r="W22" s="121"/>
      <c r="X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K22" s="121"/>
      <c r="AM22" s="5"/>
      <c r="AO22" s="5"/>
      <c r="AP22" s="5"/>
      <c r="AQ22" s="5"/>
      <c r="AT22" s="111" t="str">
        <f>C5</f>
        <v>Ustaoset</v>
      </c>
      <c r="AU22" s="104">
        <f>AU5</f>
        <v>1.5135612484362029E-2</v>
      </c>
      <c r="AV22" s="4">
        <f>AV5</f>
        <v>1193.6723389390688</v>
      </c>
      <c r="AW22" s="1">
        <f>AW5</f>
        <v>182.13228035538003</v>
      </c>
      <c r="AX22" s="1">
        <f>AX5</f>
        <v>61.983471074380176</v>
      </c>
      <c r="AY22" s="104">
        <f>AY5</f>
        <v>55.958774487238507</v>
      </c>
      <c r="BB22" s="1"/>
      <c r="BC22" s="1"/>
      <c r="BD22" s="1"/>
      <c r="BE22" s="4"/>
      <c r="BF22" s="1"/>
      <c r="BG22" s="1"/>
      <c r="CS22" s="5"/>
      <c r="CT22" s="5"/>
      <c r="CU22" s="5"/>
      <c r="CV22" s="5"/>
      <c r="CW22" s="5"/>
      <c r="CX22" s="5"/>
      <c r="CY22" s="5"/>
      <c r="CZ22" s="5"/>
      <c r="DA22" s="5"/>
    </row>
    <row r="23" spans="1:105" s="74" customFormat="1" x14ac:dyDescent="0.25">
      <c r="A23" s="132"/>
      <c r="B23" s="135"/>
      <c r="C23" s="111"/>
      <c r="D23" s="111"/>
      <c r="E23" s="136"/>
      <c r="F23" s="5"/>
      <c r="G23" s="5"/>
      <c r="H23" s="64"/>
      <c r="I23" s="67"/>
      <c r="J23" s="70"/>
      <c r="K23" s="73"/>
      <c r="N23" s="59"/>
      <c r="O23" s="59"/>
      <c r="P23" s="59"/>
      <c r="Q23" s="121"/>
      <c r="R23" s="121"/>
      <c r="S23" s="121"/>
      <c r="T23" s="121"/>
      <c r="U23" s="121"/>
      <c r="V23" s="121"/>
      <c r="W23" s="121"/>
      <c r="X23" s="121"/>
      <c r="Y23" s="2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32"/>
      <c r="AM23" s="5"/>
      <c r="AN23" s="32"/>
      <c r="AO23" s="5"/>
      <c r="AP23" s="5"/>
      <c r="AQ23" s="5"/>
      <c r="AS23" s="1"/>
      <c r="AU23" s="104"/>
      <c r="AV23" s="4"/>
      <c r="AW23" s="1"/>
      <c r="AX23" s="104"/>
      <c r="AY23" s="104"/>
      <c r="AZ23" s="4">
        <f t="shared" ref="AZ23:BF23" si="40">AZ5</f>
        <v>131.62099589917275</v>
      </c>
      <c r="BA23" s="1">
        <f t="shared" si="40"/>
        <v>2.3286925372691916</v>
      </c>
      <c r="BB23" s="1">
        <f t="shared" si="40"/>
        <v>17.645788167612437</v>
      </c>
      <c r="BC23" s="1">
        <f t="shared" si="40"/>
        <v>4.596498442565168</v>
      </c>
      <c r="BD23" s="1">
        <f t="shared" si="40"/>
        <v>0.58120762027768813</v>
      </c>
      <c r="BE23" s="4">
        <f t="shared" si="40"/>
        <v>1605.214945241351</v>
      </c>
      <c r="BF23" s="1">
        <f t="shared" si="40"/>
        <v>9.3469600822962811</v>
      </c>
      <c r="BG23" s="1"/>
      <c r="BH23" s="3"/>
      <c r="BI23" s="3"/>
      <c r="BJ23" s="103"/>
      <c r="BK23" s="2"/>
      <c r="BL23" s="2"/>
      <c r="BM23" s="3"/>
      <c r="BN23" s="103"/>
      <c r="BO23" s="103"/>
      <c r="BP23" s="103"/>
      <c r="BQ23" s="103"/>
      <c r="BR23" s="103"/>
      <c r="BS23" s="103"/>
      <c r="BT23" s="103"/>
      <c r="BU23" s="103"/>
      <c r="BV23" s="3"/>
      <c r="BW23" s="103"/>
      <c r="BX23" s="103"/>
      <c r="BY23" s="103"/>
      <c r="BZ23" s="103"/>
      <c r="CA23" s="103"/>
      <c r="CB23" s="103"/>
      <c r="CC23" s="103"/>
      <c r="CD23" s="103"/>
      <c r="CE23" s="3"/>
      <c r="CF23" s="107"/>
      <c r="CG23" s="108"/>
      <c r="CH23" s="108"/>
      <c r="CS23" s="5"/>
      <c r="CT23" s="5"/>
      <c r="CU23" s="5"/>
      <c r="CV23" s="5"/>
      <c r="CW23" s="5"/>
      <c r="CX23" s="5"/>
      <c r="CY23" s="5"/>
      <c r="CZ23" s="5"/>
      <c r="DA23" s="5"/>
    </row>
    <row r="24" spans="1:105" s="74" customFormat="1" x14ac:dyDescent="0.25">
      <c r="A24" s="132"/>
      <c r="B24" s="135"/>
      <c r="C24" s="111"/>
      <c r="D24" s="111"/>
      <c r="E24" s="136"/>
      <c r="F24" s="5"/>
      <c r="G24" s="5"/>
      <c r="H24" s="64"/>
      <c r="I24" s="67"/>
      <c r="J24" s="70"/>
      <c r="K24" s="73"/>
      <c r="N24" s="59"/>
      <c r="O24" s="59"/>
      <c r="P24" s="59"/>
      <c r="Q24" s="121"/>
      <c r="R24" s="121"/>
      <c r="S24" s="121"/>
      <c r="T24" s="121"/>
      <c r="U24" s="121"/>
      <c r="V24" s="121"/>
      <c r="W24" s="121"/>
      <c r="X24" s="121"/>
      <c r="Y24" s="2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32"/>
      <c r="AM24" s="5"/>
      <c r="AN24" s="32"/>
      <c r="AO24" s="5"/>
      <c r="AP24" s="5"/>
      <c r="AQ24" s="5"/>
      <c r="AS24" s="1"/>
      <c r="AU24" s="104"/>
      <c r="AV24" s="4"/>
      <c r="AW24" s="1"/>
      <c r="AX24" s="104"/>
      <c r="AY24" s="104"/>
      <c r="AZ24" s="1"/>
      <c r="BA24" s="1"/>
      <c r="BB24" s="1"/>
      <c r="BC24" s="1"/>
      <c r="BD24" s="1"/>
      <c r="BE24" s="4"/>
      <c r="BF24" s="1"/>
      <c r="BG24" s="1"/>
      <c r="BH24" s="3"/>
      <c r="BI24" s="3"/>
      <c r="BJ24" s="103"/>
      <c r="BK24" s="2"/>
      <c r="BL24" s="2"/>
      <c r="BM24" s="3"/>
      <c r="BN24" s="103"/>
      <c r="BO24" s="103"/>
      <c r="BP24" s="103"/>
      <c r="BQ24" s="103"/>
      <c r="BR24" s="103"/>
      <c r="BS24" s="103"/>
      <c r="BT24" s="103"/>
      <c r="BU24" s="103"/>
      <c r="BV24" s="3"/>
      <c r="BW24" s="103"/>
      <c r="BX24" s="103"/>
      <c r="BY24" s="103"/>
      <c r="BZ24" s="103"/>
      <c r="CA24" s="103"/>
      <c r="CB24" s="103"/>
      <c r="CC24" s="103"/>
      <c r="CD24" s="103"/>
      <c r="CE24" s="3"/>
      <c r="CF24" s="107"/>
      <c r="CG24" s="108"/>
      <c r="CH24" s="108"/>
      <c r="CS24" s="5"/>
      <c r="CT24" s="5"/>
      <c r="CU24" s="5"/>
      <c r="CV24" s="5"/>
      <c r="CW24" s="5"/>
      <c r="CX24" s="5"/>
      <c r="CY24" s="5"/>
      <c r="CZ24" s="5"/>
      <c r="DA24" s="5"/>
    </row>
    <row r="25" spans="1:105" x14ac:dyDescent="0.25">
      <c r="A25" s="132"/>
      <c r="B25" s="135"/>
      <c r="C25" s="111"/>
      <c r="D25" s="111"/>
      <c r="E25" s="136"/>
      <c r="F25" s="5"/>
      <c r="G25" s="5"/>
      <c r="H25" s="64"/>
      <c r="I25" s="67"/>
      <c r="J25" s="70"/>
      <c r="K25" s="73"/>
      <c r="Q25" s="121"/>
      <c r="T25" s="121"/>
      <c r="U25" s="121"/>
      <c r="V25" s="121"/>
      <c r="W25" s="121"/>
      <c r="X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K25" s="121"/>
      <c r="AM25" s="5"/>
      <c r="AO25" s="5"/>
      <c r="AP25" s="5"/>
      <c r="AQ25" s="5"/>
      <c r="AT25" s="111" t="str">
        <f>C6</f>
        <v>Kolbotntjern</v>
      </c>
      <c r="AU25" s="104">
        <f>AU6</f>
        <v>4.1686938347033513E-2</v>
      </c>
      <c r="AV25" s="4">
        <f>AV6</f>
        <v>1045.8106691950695</v>
      </c>
      <c r="AW25" s="1">
        <f>AW6</f>
        <v>238.9766370516617</v>
      </c>
      <c r="AX25" s="4">
        <f>AX6</f>
        <v>860.46107003044801</v>
      </c>
      <c r="AY25" s="104">
        <f>AY6</f>
        <v>76.870748299319729</v>
      </c>
      <c r="BB25" s="1"/>
      <c r="BC25" s="1"/>
      <c r="BD25" s="1"/>
      <c r="BE25" s="4"/>
      <c r="BF25" s="1"/>
      <c r="BG25" s="1"/>
      <c r="CS25" s="5"/>
      <c r="CT25" s="5"/>
      <c r="CU25" s="5"/>
      <c r="CV25" s="5"/>
      <c r="CW25" s="5"/>
      <c r="CX25" s="5"/>
      <c r="CY25" s="5"/>
      <c r="CZ25" s="5"/>
      <c r="DA25" s="5"/>
    </row>
    <row r="26" spans="1:105" s="74" customFormat="1" x14ac:dyDescent="0.25">
      <c r="A26" s="132"/>
      <c r="B26" s="135"/>
      <c r="C26" s="111"/>
      <c r="D26" s="111"/>
      <c r="E26" s="136"/>
      <c r="F26" s="5"/>
      <c r="G26" s="5"/>
      <c r="H26" s="64"/>
      <c r="I26" s="67"/>
      <c r="J26" s="70"/>
      <c r="K26" s="73"/>
      <c r="N26" s="59"/>
      <c r="O26" s="59"/>
      <c r="P26" s="59"/>
      <c r="Q26" s="121"/>
      <c r="R26" s="121"/>
      <c r="S26" s="121"/>
      <c r="T26" s="121"/>
      <c r="U26" s="121"/>
      <c r="V26" s="121"/>
      <c r="W26" s="121"/>
      <c r="X26" s="121"/>
      <c r="Y26" s="2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32"/>
      <c r="AM26" s="5"/>
      <c r="AN26" s="32"/>
      <c r="AO26" s="5"/>
      <c r="AP26" s="5"/>
      <c r="AQ26" s="5"/>
      <c r="AS26" s="1"/>
      <c r="AU26" s="104"/>
      <c r="AV26" s="4"/>
      <c r="AW26" s="104"/>
      <c r="AX26" s="104"/>
      <c r="AY26" s="104"/>
      <c r="AZ26" s="1">
        <f t="shared" ref="AZ26:BF26" si="41">AZ6</f>
        <v>406.78405897163742</v>
      </c>
      <c r="BA26" s="1">
        <f t="shared" si="41"/>
        <v>2.5348300440324674</v>
      </c>
      <c r="BB26" s="4">
        <f t="shared" si="41"/>
        <v>983.98646201666702</v>
      </c>
      <c r="BC26" s="1">
        <f t="shared" si="41"/>
        <v>5.5355084240690502</v>
      </c>
      <c r="BD26" s="1">
        <f t="shared" si="41"/>
        <v>0.38747174685179209</v>
      </c>
      <c r="BE26" s="4">
        <f t="shared" si="41"/>
        <v>1117.1355220883343</v>
      </c>
      <c r="BF26" s="1">
        <f t="shared" si="41"/>
        <v>33.580299560193197</v>
      </c>
      <c r="BG26" s="1"/>
      <c r="BH26" s="3"/>
      <c r="BI26" s="3"/>
      <c r="BJ26" s="103"/>
      <c r="BK26" s="2"/>
      <c r="BL26" s="2"/>
      <c r="BM26" s="3"/>
      <c r="BN26" s="103"/>
      <c r="BO26" s="103"/>
      <c r="BP26" s="103"/>
      <c r="BQ26" s="103"/>
      <c r="BR26" s="103"/>
      <c r="BS26" s="103"/>
      <c r="BT26" s="103"/>
      <c r="BU26" s="103"/>
      <c r="BV26" s="3"/>
      <c r="BW26" s="103"/>
      <c r="BX26" s="103"/>
      <c r="BY26" s="103"/>
      <c r="BZ26" s="103"/>
      <c r="CA26" s="103"/>
      <c r="CB26" s="103"/>
      <c r="CC26" s="103"/>
      <c r="CD26" s="103"/>
      <c r="CE26" s="3"/>
      <c r="CF26" s="107"/>
      <c r="CG26" s="108"/>
      <c r="CH26" s="108"/>
      <c r="CS26" s="5"/>
      <c r="CT26" s="5"/>
      <c r="CU26" s="5"/>
      <c r="CV26" s="5"/>
      <c r="CW26" s="5"/>
      <c r="CX26" s="5"/>
      <c r="CY26" s="5"/>
      <c r="CZ26" s="5"/>
      <c r="DA26" s="5"/>
    </row>
    <row r="27" spans="1:105" s="74" customFormat="1" x14ac:dyDescent="0.25">
      <c r="A27" s="132"/>
      <c r="B27" s="135"/>
      <c r="C27" s="111"/>
      <c r="D27" s="111"/>
      <c r="E27" s="136"/>
      <c r="F27" s="5"/>
      <c r="G27" s="5"/>
      <c r="H27" s="64"/>
      <c r="I27" s="67"/>
      <c r="J27" s="70"/>
      <c r="K27" s="73"/>
      <c r="N27" s="59"/>
      <c r="O27" s="59"/>
      <c r="P27" s="59"/>
      <c r="Q27" s="121"/>
      <c r="R27" s="121"/>
      <c r="S27" s="121"/>
      <c r="T27" s="121"/>
      <c r="U27" s="121"/>
      <c r="V27" s="121"/>
      <c r="W27" s="121"/>
      <c r="X27" s="121"/>
      <c r="Y27" s="2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32"/>
      <c r="AM27" s="5"/>
      <c r="AN27" s="32"/>
      <c r="AO27" s="5"/>
      <c r="AP27" s="5"/>
      <c r="AQ27" s="5"/>
      <c r="AS27" s="1"/>
      <c r="AU27" s="104"/>
      <c r="AV27" s="4"/>
      <c r="AW27" s="104"/>
      <c r="AX27" s="104"/>
      <c r="AY27" s="104"/>
      <c r="AZ27" s="1"/>
      <c r="BA27" s="1"/>
      <c r="BB27" s="4"/>
      <c r="BC27" s="1"/>
      <c r="BD27" s="1"/>
      <c r="BE27" s="4"/>
      <c r="BF27" s="1"/>
      <c r="BG27" s="1"/>
      <c r="BH27" s="3"/>
      <c r="BI27" s="3"/>
      <c r="BJ27" s="103"/>
      <c r="BK27" s="2"/>
      <c r="BL27" s="2"/>
      <c r="BM27" s="3"/>
      <c r="BN27" s="103"/>
      <c r="BO27" s="103"/>
      <c r="BP27" s="103"/>
      <c r="BQ27" s="103"/>
      <c r="BR27" s="103"/>
      <c r="BS27" s="103"/>
      <c r="BT27" s="103"/>
      <c r="BU27" s="103"/>
      <c r="BV27" s="3"/>
      <c r="BW27" s="103"/>
      <c r="BX27" s="103"/>
      <c r="BY27" s="103"/>
      <c r="BZ27" s="103"/>
      <c r="CA27" s="103"/>
      <c r="CB27" s="103"/>
      <c r="CC27" s="103"/>
      <c r="CD27" s="103"/>
      <c r="CE27" s="3"/>
      <c r="CF27" s="107"/>
      <c r="CG27" s="108"/>
      <c r="CH27" s="108"/>
      <c r="CS27" s="5"/>
      <c r="CT27" s="5"/>
      <c r="CU27" s="5"/>
      <c r="CV27" s="5"/>
      <c r="CW27" s="5"/>
      <c r="CX27" s="5"/>
      <c r="CY27" s="5"/>
      <c r="CZ27" s="5"/>
      <c r="DA27" s="5"/>
    </row>
    <row r="28" spans="1:105" x14ac:dyDescent="0.25">
      <c r="A28" s="132"/>
      <c r="B28" s="135"/>
      <c r="C28" s="111"/>
      <c r="D28" s="111"/>
      <c r="E28" s="136"/>
      <c r="F28" s="5"/>
      <c r="G28" s="5"/>
      <c r="H28" s="64"/>
      <c r="I28" s="67"/>
      <c r="J28" s="70"/>
      <c r="K28" s="73"/>
      <c r="Q28" s="121"/>
      <c r="T28" s="121"/>
      <c r="U28" s="121"/>
      <c r="V28" s="121"/>
      <c r="W28" s="121"/>
      <c r="X28" s="121"/>
      <c r="Z28" s="121"/>
      <c r="AA28" s="121"/>
      <c r="AB28" s="121"/>
      <c r="AC28" s="121"/>
      <c r="AD28" s="124"/>
      <c r="AE28" s="121"/>
      <c r="AF28" s="121"/>
      <c r="AG28" s="121"/>
      <c r="AH28" s="121"/>
      <c r="AI28" s="121"/>
      <c r="AK28" s="121"/>
      <c r="AM28" s="5"/>
      <c r="AO28" s="5"/>
      <c r="AP28" s="5"/>
      <c r="AQ28" s="5"/>
      <c r="AT28" s="112" t="str">
        <f>C7</f>
        <v>Nesøytjernet</v>
      </c>
      <c r="AU28" s="104">
        <f>AU7</f>
        <v>1.4791083881682026E-2</v>
      </c>
      <c r="AV28" s="4">
        <f>AV7</f>
        <v>1133.9887219921152</v>
      </c>
      <c r="AW28" s="4">
        <f>AW7</f>
        <v>287.5123395853899</v>
      </c>
      <c r="AX28" s="4">
        <f>AX7</f>
        <v>422.00956937799043</v>
      </c>
      <c r="AY28" s="1">
        <f>AY7</f>
        <v>43.757352565086194</v>
      </c>
      <c r="BC28" s="1"/>
      <c r="BD28" s="1"/>
      <c r="BE28" s="4"/>
      <c r="BF28" s="1"/>
      <c r="BG28" s="1"/>
      <c r="CS28" s="5"/>
      <c r="CT28" s="5"/>
      <c r="CU28" s="5"/>
      <c r="CV28" s="5"/>
      <c r="CW28" s="5"/>
      <c r="CX28" s="5"/>
      <c r="CY28" s="5"/>
      <c r="CZ28" s="5"/>
      <c r="DA28" s="5"/>
    </row>
    <row r="29" spans="1:105" s="74" customFormat="1" x14ac:dyDescent="0.25">
      <c r="A29" s="132"/>
      <c r="B29" s="135"/>
      <c r="C29" s="111"/>
      <c r="D29" s="111"/>
      <c r="E29" s="136"/>
      <c r="F29" s="5"/>
      <c r="G29" s="5"/>
      <c r="H29" s="64"/>
      <c r="I29" s="67"/>
      <c r="J29" s="70"/>
      <c r="K29" s="73"/>
      <c r="N29" s="59"/>
      <c r="O29" s="59"/>
      <c r="P29" s="59"/>
      <c r="Q29" s="121"/>
      <c r="R29" s="121"/>
      <c r="S29" s="121"/>
      <c r="T29" s="121"/>
      <c r="U29" s="121"/>
      <c r="V29" s="121"/>
      <c r="W29" s="121"/>
      <c r="X29" s="121"/>
      <c r="Y29" s="2"/>
      <c r="Z29" s="121"/>
      <c r="AA29" s="121"/>
      <c r="AB29" s="121"/>
      <c r="AC29" s="121"/>
      <c r="AD29" s="124"/>
      <c r="AE29" s="121"/>
      <c r="AF29" s="121"/>
      <c r="AG29" s="121"/>
      <c r="AH29" s="121"/>
      <c r="AI29" s="121"/>
      <c r="AJ29" s="121"/>
      <c r="AK29" s="121"/>
      <c r="AL29" s="32"/>
      <c r="AM29" s="5"/>
      <c r="AN29" s="32"/>
      <c r="AO29" s="5"/>
      <c r="AP29" s="5"/>
      <c r="AQ29" s="5"/>
      <c r="AS29" s="1"/>
      <c r="AU29" s="104"/>
      <c r="AV29" s="4"/>
      <c r="AW29" s="4"/>
      <c r="AX29" s="104"/>
      <c r="AY29" s="1"/>
      <c r="AZ29" s="4">
        <f t="shared" ref="AZ29:BF29" si="42">AZ7</f>
        <v>152.86881727175142</v>
      </c>
      <c r="BA29" s="1">
        <f t="shared" si="42"/>
        <v>0.80636447351657159</v>
      </c>
      <c r="BB29" s="4">
        <f t="shared" si="42"/>
        <v>336.93750469142407</v>
      </c>
      <c r="BC29" s="1">
        <f t="shared" si="42"/>
        <v>2.9911763678001702</v>
      </c>
      <c r="BD29" s="1">
        <f t="shared" si="42"/>
        <v>0.29060381013884407</v>
      </c>
      <c r="BE29" s="4">
        <f t="shared" si="42"/>
        <v>1731.9310674715919</v>
      </c>
      <c r="BF29" s="1">
        <f t="shared" si="42"/>
        <v>48.379461591114882</v>
      </c>
      <c r="BG29" s="1"/>
      <c r="BH29" s="3"/>
      <c r="BI29" s="3"/>
      <c r="BJ29" s="103"/>
      <c r="BK29" s="2"/>
      <c r="BL29" s="2"/>
      <c r="BM29" s="3"/>
      <c r="BN29" s="103"/>
      <c r="BO29" s="103"/>
      <c r="BP29" s="103"/>
      <c r="BQ29" s="103"/>
      <c r="BR29" s="103"/>
      <c r="BS29" s="103"/>
      <c r="BT29" s="103"/>
      <c r="BU29" s="103"/>
      <c r="BV29" s="3"/>
      <c r="BW29" s="103"/>
      <c r="BX29" s="103"/>
      <c r="BY29" s="103"/>
      <c r="BZ29" s="103"/>
      <c r="CA29" s="103"/>
      <c r="CB29" s="103"/>
      <c r="CC29" s="103"/>
      <c r="CD29" s="103"/>
      <c r="CE29" s="3"/>
      <c r="CF29" s="107"/>
      <c r="CG29" s="108"/>
      <c r="CH29" s="108"/>
      <c r="CS29" s="5"/>
      <c r="CT29" s="5"/>
      <c r="CU29" s="5"/>
      <c r="CV29" s="5"/>
      <c r="CW29" s="5"/>
      <c r="CX29" s="5"/>
      <c r="CY29" s="5"/>
      <c r="CZ29" s="5"/>
      <c r="DA29" s="5"/>
    </row>
    <row r="30" spans="1:105" s="74" customFormat="1" x14ac:dyDescent="0.25">
      <c r="A30" s="132"/>
      <c r="B30" s="135"/>
      <c r="C30" s="111"/>
      <c r="D30" s="111"/>
      <c r="E30" s="136"/>
      <c r="F30" s="5"/>
      <c r="G30" s="5"/>
      <c r="H30" s="64"/>
      <c r="I30" s="67"/>
      <c r="J30" s="70"/>
      <c r="K30" s="73"/>
      <c r="N30" s="59"/>
      <c r="O30" s="59"/>
      <c r="P30" s="59"/>
      <c r="Q30" s="121"/>
      <c r="R30" s="121"/>
      <c r="S30" s="121"/>
      <c r="T30" s="121"/>
      <c r="U30" s="121"/>
      <c r="V30" s="121"/>
      <c r="W30" s="121"/>
      <c r="X30" s="121"/>
      <c r="Y30" s="2"/>
      <c r="Z30" s="121"/>
      <c r="AA30" s="121"/>
      <c r="AB30" s="121"/>
      <c r="AC30" s="121"/>
      <c r="AD30" s="124"/>
      <c r="AE30" s="121"/>
      <c r="AF30" s="121"/>
      <c r="AG30" s="121"/>
      <c r="AH30" s="121"/>
      <c r="AI30" s="121"/>
      <c r="AJ30" s="121"/>
      <c r="AK30" s="121"/>
      <c r="AL30" s="32"/>
      <c r="AM30" s="5"/>
      <c r="AN30" s="32"/>
      <c r="AO30" s="5"/>
      <c r="AP30" s="5"/>
      <c r="AQ30" s="5"/>
      <c r="AS30" s="1"/>
      <c r="AT30" s="5"/>
      <c r="AU30" s="104"/>
      <c r="AV30" s="4"/>
      <c r="AW30" s="4"/>
      <c r="AX30" s="104"/>
      <c r="AY30" s="1"/>
      <c r="AZ30" s="4"/>
      <c r="BA30" s="1"/>
      <c r="BB30" s="4"/>
      <c r="BC30" s="1"/>
      <c r="BD30" s="1"/>
      <c r="BE30" s="4"/>
      <c r="BF30" s="1"/>
      <c r="BG30" s="1"/>
      <c r="BH30" s="3"/>
      <c r="BI30" s="3"/>
      <c r="BJ30" s="103"/>
      <c r="BK30" s="2"/>
      <c r="BL30" s="2"/>
      <c r="BM30" s="3"/>
      <c r="BN30" s="103"/>
      <c r="BO30" s="103"/>
      <c r="BP30" s="103"/>
      <c r="BQ30" s="103"/>
      <c r="BR30" s="103"/>
      <c r="BS30" s="103"/>
      <c r="BT30" s="103"/>
      <c r="BU30" s="103"/>
      <c r="BV30" s="3"/>
      <c r="BW30" s="103"/>
      <c r="BX30" s="103"/>
      <c r="BY30" s="103"/>
      <c r="BZ30" s="103"/>
      <c r="CA30" s="103"/>
      <c r="CB30" s="103"/>
      <c r="CC30" s="103"/>
      <c r="CD30" s="103"/>
      <c r="CE30" s="3"/>
      <c r="CF30" s="107"/>
      <c r="CG30" s="108"/>
      <c r="CH30" s="108"/>
      <c r="CS30" s="5"/>
      <c r="CT30" s="5"/>
      <c r="CU30" s="5"/>
      <c r="CV30" s="5"/>
      <c r="CW30" s="5"/>
      <c r="CX30" s="5"/>
      <c r="CY30" s="5"/>
      <c r="CZ30" s="5"/>
      <c r="DA30" s="5"/>
    </row>
    <row r="31" spans="1:105" x14ac:dyDescent="0.25">
      <c r="A31" s="132"/>
      <c r="B31" s="135"/>
      <c r="C31" s="111"/>
      <c r="D31" s="111"/>
      <c r="E31" s="136"/>
      <c r="F31" s="5"/>
      <c r="G31" s="5"/>
      <c r="H31" s="64"/>
      <c r="I31" s="67"/>
      <c r="J31" s="70"/>
      <c r="K31" s="73"/>
      <c r="Q31" s="121"/>
      <c r="T31" s="121"/>
      <c r="U31" s="121"/>
      <c r="V31" s="121"/>
      <c r="W31" s="121"/>
      <c r="X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K31" s="32"/>
      <c r="AM31" s="5"/>
      <c r="AO31" s="5"/>
      <c r="AP31" s="5"/>
      <c r="AQ31" s="5"/>
      <c r="AT31" s="111" t="str">
        <f>C8</f>
        <v>Maridalsvannet</v>
      </c>
      <c r="AU31" s="104">
        <f>AU8</f>
        <v>0.15488166189124805</v>
      </c>
      <c r="AV31" s="4">
        <f>AV8</f>
        <v>107.49039373222216</v>
      </c>
      <c r="AW31" s="4">
        <f>AW8</f>
        <v>43.279039157617639</v>
      </c>
      <c r="AX31" s="4">
        <f>AX8</f>
        <v>64.071335363201413</v>
      </c>
      <c r="AY31" s="1">
        <f>AY8</f>
        <v>10.631169761137539</v>
      </c>
      <c r="AZ31" s="4"/>
      <c r="BC31" s="1"/>
      <c r="BD31" s="1"/>
      <c r="BE31" s="4"/>
      <c r="BF31" s="1"/>
      <c r="BG31" s="1"/>
      <c r="CS31" s="5"/>
      <c r="CT31" s="5"/>
      <c r="CU31" s="5"/>
      <c r="CV31" s="5"/>
      <c r="CW31" s="5"/>
      <c r="CX31" s="5"/>
      <c r="CY31" s="5"/>
      <c r="CZ31" s="5"/>
      <c r="DA31" s="5"/>
    </row>
    <row r="32" spans="1:105" s="74" customFormat="1" x14ac:dyDescent="0.25">
      <c r="A32" s="132"/>
      <c r="B32" s="135"/>
      <c r="C32" s="111"/>
      <c r="D32" s="111"/>
      <c r="E32" s="136"/>
      <c r="F32" s="5"/>
      <c r="G32" s="5"/>
      <c r="H32" s="64"/>
      <c r="I32" s="67"/>
      <c r="J32" s="70"/>
      <c r="K32" s="73"/>
      <c r="N32" s="59"/>
      <c r="O32" s="59"/>
      <c r="P32" s="59"/>
      <c r="Q32" s="121"/>
      <c r="R32" s="121"/>
      <c r="S32" s="121"/>
      <c r="T32" s="121"/>
      <c r="U32" s="121"/>
      <c r="V32" s="121"/>
      <c r="W32" s="121"/>
      <c r="X32" s="121"/>
      <c r="Y32" s="2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32"/>
      <c r="AL32" s="32"/>
      <c r="AM32" s="5"/>
      <c r="AN32" s="32"/>
      <c r="AO32" s="5"/>
      <c r="AP32" s="5"/>
      <c r="AQ32" s="5"/>
      <c r="AS32" s="1"/>
      <c r="AT32" s="5"/>
      <c r="AU32" s="104"/>
      <c r="AV32" s="4"/>
      <c r="AW32" s="4"/>
      <c r="AX32" s="104"/>
      <c r="AY32" s="1"/>
      <c r="AZ32" s="4">
        <f t="shared" ref="AZ32:BF32" si="43">AZ8</f>
        <v>36.48013458885567</v>
      </c>
      <c r="BA32" s="1">
        <f t="shared" si="43"/>
        <v>7.2860873576819589</v>
      </c>
      <c r="BB32" s="4">
        <f t="shared" si="43"/>
        <v>48.675016258210107</v>
      </c>
      <c r="BC32" s="1">
        <f t="shared" si="43"/>
        <v>4.7324276291873151</v>
      </c>
      <c r="BD32" s="1">
        <f t="shared" si="43"/>
        <v>0.19373587342589604</v>
      </c>
      <c r="BE32" s="4">
        <f t="shared" si="43"/>
        <v>72.039392442099611</v>
      </c>
      <c r="BF32" s="1">
        <f t="shared" si="43"/>
        <v>29.221939699359126</v>
      </c>
      <c r="BG32" s="1"/>
      <c r="BH32" s="3"/>
      <c r="BI32" s="3"/>
      <c r="BJ32" s="103"/>
      <c r="BK32" s="2"/>
      <c r="BL32" s="2"/>
      <c r="BM32" s="3"/>
      <c r="BN32" s="103"/>
      <c r="BO32" s="103"/>
      <c r="BP32" s="103"/>
      <c r="BQ32" s="103"/>
      <c r="BR32" s="103"/>
      <c r="BS32" s="103"/>
      <c r="BT32" s="103"/>
      <c r="BU32" s="103"/>
      <c r="BV32" s="3"/>
      <c r="BW32" s="103"/>
      <c r="BX32" s="103"/>
      <c r="BY32" s="103"/>
      <c r="BZ32" s="103"/>
      <c r="CA32" s="103"/>
      <c r="CB32" s="103"/>
      <c r="CC32" s="103"/>
      <c r="CD32" s="103"/>
      <c r="CE32" s="3"/>
      <c r="CF32" s="107"/>
      <c r="CG32" s="108"/>
      <c r="CH32" s="108"/>
      <c r="CS32" s="5"/>
      <c r="CT32" s="5"/>
      <c r="CU32" s="5"/>
      <c r="CV32" s="5"/>
      <c r="CW32" s="5"/>
      <c r="CX32" s="5"/>
      <c r="CY32" s="5"/>
      <c r="CZ32" s="5"/>
      <c r="DA32" s="5"/>
    </row>
    <row r="33" spans="1:105" s="74" customFormat="1" x14ac:dyDescent="0.25">
      <c r="A33" s="132"/>
      <c r="B33" s="135"/>
      <c r="C33" s="111"/>
      <c r="D33" s="111"/>
      <c r="E33" s="136"/>
      <c r="F33" s="5"/>
      <c r="G33" s="5"/>
      <c r="H33" s="64"/>
      <c r="I33" s="67"/>
      <c r="J33" s="70"/>
      <c r="K33" s="73"/>
      <c r="N33" s="59"/>
      <c r="O33" s="59"/>
      <c r="P33" s="59"/>
      <c r="Q33" s="121"/>
      <c r="R33" s="121"/>
      <c r="S33" s="121"/>
      <c r="T33" s="121"/>
      <c r="U33" s="121"/>
      <c r="V33" s="121"/>
      <c r="W33" s="121"/>
      <c r="X33" s="121"/>
      <c r="Y33" s="2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32"/>
      <c r="AL33" s="32"/>
      <c r="AM33" s="5"/>
      <c r="AN33" s="32"/>
      <c r="AO33" s="5"/>
      <c r="AP33" s="5"/>
      <c r="AQ33" s="5"/>
      <c r="AS33" s="1"/>
      <c r="AT33" s="5"/>
      <c r="AU33" s="104"/>
      <c r="AV33" s="4"/>
      <c r="AW33" s="4"/>
      <c r="AX33" s="104"/>
      <c r="AY33" s="1"/>
      <c r="AZ33" s="4"/>
      <c r="BA33" s="1"/>
      <c r="BB33" s="4"/>
      <c r="BC33" s="1"/>
      <c r="BD33" s="1"/>
      <c r="BE33" s="4"/>
      <c r="BF33" s="1"/>
      <c r="BG33" s="1"/>
      <c r="BH33" s="3"/>
      <c r="BI33" s="3"/>
      <c r="BJ33" s="103"/>
      <c r="BK33" s="2"/>
      <c r="BL33" s="2"/>
      <c r="BM33" s="3"/>
      <c r="BN33" s="103"/>
      <c r="BO33" s="103"/>
      <c r="BP33" s="103"/>
      <c r="BQ33" s="103"/>
      <c r="BR33" s="103"/>
      <c r="BS33" s="103"/>
      <c r="BT33" s="103"/>
      <c r="BU33" s="103"/>
      <c r="BV33" s="3"/>
      <c r="BW33" s="103"/>
      <c r="BX33" s="103"/>
      <c r="BY33" s="103"/>
      <c r="BZ33" s="103"/>
      <c r="CA33" s="103"/>
      <c r="CB33" s="103"/>
      <c r="CC33" s="103"/>
      <c r="CD33" s="103"/>
      <c r="CE33" s="3"/>
      <c r="CF33" s="107"/>
      <c r="CG33" s="108"/>
      <c r="CH33" s="108"/>
      <c r="CS33" s="5"/>
      <c r="CT33" s="5"/>
      <c r="CU33" s="5"/>
      <c r="CV33" s="5"/>
      <c r="CW33" s="5"/>
      <c r="CX33" s="5"/>
      <c r="CY33" s="5"/>
      <c r="CZ33" s="5"/>
      <c r="DA33" s="5"/>
    </row>
    <row r="34" spans="1:105" x14ac:dyDescent="0.25">
      <c r="A34" s="132"/>
      <c r="B34" s="135"/>
      <c r="C34" s="111"/>
      <c r="D34" s="111"/>
      <c r="E34" s="136"/>
      <c r="F34" s="43"/>
      <c r="Q34" s="121"/>
      <c r="T34" s="121"/>
      <c r="U34" s="121"/>
      <c r="V34" s="121"/>
      <c r="W34" s="121"/>
      <c r="X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K34" s="32"/>
      <c r="AM34" s="5"/>
      <c r="AO34" s="5"/>
      <c r="AP34" s="5"/>
      <c r="AQ34" s="5"/>
      <c r="AT34" s="111" t="str">
        <f>C9</f>
        <v>Akerselva</v>
      </c>
      <c r="AU34" s="104">
        <f>AU9</f>
        <v>9.5499258602143561E-2</v>
      </c>
      <c r="AV34" s="4">
        <f>AV9</f>
        <v>204.55112530565398</v>
      </c>
      <c r="AW34" s="4">
        <f>AW9</f>
        <v>65.391576176373817</v>
      </c>
      <c r="AX34" s="4">
        <f>AX9</f>
        <v>128.01217920835148</v>
      </c>
      <c r="AY34" s="1">
        <f>AY9</f>
        <v>15.045266226791471</v>
      </c>
      <c r="AZ34" s="4"/>
      <c r="BC34" s="1"/>
      <c r="BD34" s="1"/>
      <c r="BE34" s="4"/>
      <c r="BF34" s="1"/>
      <c r="BG34" s="1"/>
      <c r="CS34" s="5"/>
      <c r="CT34" s="5"/>
      <c r="CU34" s="5"/>
      <c r="CV34" s="5"/>
      <c r="CW34" s="5"/>
      <c r="CX34" s="5"/>
      <c r="CY34" s="5"/>
      <c r="CZ34" s="5"/>
      <c r="DA34" s="5"/>
    </row>
    <row r="35" spans="1:105" s="74" customFormat="1" x14ac:dyDescent="0.25">
      <c r="A35" s="132"/>
      <c r="B35" s="135"/>
      <c r="C35" s="111"/>
      <c r="D35" s="111"/>
      <c r="E35" s="136"/>
      <c r="F35" s="43"/>
      <c r="G35" s="43"/>
      <c r="H35" s="5"/>
      <c r="I35" s="5"/>
      <c r="J35" s="64"/>
      <c r="K35" s="67"/>
      <c r="L35" s="70"/>
      <c r="M35" s="73"/>
      <c r="N35" s="59"/>
      <c r="O35" s="59"/>
      <c r="P35" s="59"/>
      <c r="Q35" s="121"/>
      <c r="R35" s="121"/>
      <c r="S35" s="121"/>
      <c r="T35" s="121"/>
      <c r="U35" s="121"/>
      <c r="V35" s="121"/>
      <c r="W35" s="121"/>
      <c r="X35" s="121"/>
      <c r="Y35" s="2"/>
      <c r="Z35" s="121"/>
      <c r="AA35" s="142"/>
      <c r="AB35" s="121"/>
      <c r="AC35" s="121"/>
      <c r="AD35" s="121"/>
      <c r="AE35" s="121"/>
      <c r="AF35" s="121"/>
      <c r="AG35" s="121"/>
      <c r="AH35" s="121"/>
      <c r="AI35" s="121"/>
      <c r="AJ35" s="121"/>
      <c r="AK35" s="32"/>
      <c r="AL35" s="32"/>
      <c r="AM35" s="5"/>
      <c r="AN35" s="32"/>
      <c r="AO35" s="5"/>
      <c r="AP35" s="5"/>
      <c r="AQ35" s="5"/>
      <c r="AS35" s="1"/>
      <c r="AT35" s="5"/>
      <c r="AU35" s="104"/>
      <c r="AV35" s="4"/>
      <c r="AW35" s="4"/>
      <c r="AX35" s="104"/>
      <c r="AY35" s="1"/>
      <c r="AZ35" s="4">
        <f t="shared" ref="AZ35:BF35" si="44">AZ9</f>
        <v>70.088521593686067</v>
      </c>
      <c r="BA35" s="1">
        <f t="shared" si="44"/>
        <v>9.0758243529633358</v>
      </c>
      <c r="BB35" s="4">
        <f t="shared" si="44"/>
        <v>123.48485939560162</v>
      </c>
      <c r="BC35" s="1">
        <f t="shared" si="44"/>
        <v>5.5804972107602033</v>
      </c>
      <c r="BD35" s="1">
        <f t="shared" si="44"/>
        <v>0.19373587342589604</v>
      </c>
      <c r="BE35" s="4">
        <f t="shared" si="44"/>
        <v>198.50124965674564</v>
      </c>
      <c r="BF35" s="1">
        <f t="shared" si="44"/>
        <v>30.216400706392562</v>
      </c>
      <c r="BG35" s="1"/>
      <c r="BH35" s="3"/>
      <c r="BI35" s="3"/>
      <c r="BJ35" s="103"/>
      <c r="BK35" s="2"/>
      <c r="BL35" s="2"/>
      <c r="BM35" s="3"/>
      <c r="BN35" s="103"/>
      <c r="BO35" s="103"/>
      <c r="BP35" s="103"/>
      <c r="BQ35" s="103"/>
      <c r="BR35" s="103"/>
      <c r="BS35" s="103"/>
      <c r="BT35" s="103"/>
      <c r="BU35" s="103"/>
      <c r="BV35" s="3"/>
      <c r="BW35" s="103"/>
      <c r="BX35" s="103"/>
      <c r="BY35" s="103"/>
      <c r="BZ35" s="103"/>
      <c r="CA35" s="103"/>
      <c r="CB35" s="103"/>
      <c r="CC35" s="103"/>
      <c r="CD35" s="103"/>
      <c r="CE35" s="3"/>
      <c r="CF35" s="107"/>
      <c r="CG35" s="108"/>
      <c r="CH35" s="108"/>
      <c r="CS35" s="5"/>
      <c r="CT35" s="5"/>
      <c r="CU35" s="5"/>
      <c r="CV35" s="5"/>
      <c r="CW35" s="5"/>
      <c r="CX35" s="5"/>
      <c r="CY35" s="5"/>
      <c r="CZ35" s="5"/>
      <c r="DA35" s="5"/>
    </row>
    <row r="36" spans="1:105" s="74" customFormat="1" x14ac:dyDescent="0.25">
      <c r="A36" s="132"/>
      <c r="B36" s="135"/>
      <c r="C36" s="111"/>
      <c r="D36" s="111"/>
      <c r="E36" s="136"/>
      <c r="F36" s="43"/>
      <c r="G36" s="43"/>
      <c r="H36" s="5"/>
      <c r="I36" s="5"/>
      <c r="J36" s="64"/>
      <c r="K36" s="67"/>
      <c r="L36" s="70"/>
      <c r="M36" s="73"/>
      <c r="N36" s="59"/>
      <c r="O36" s="59"/>
      <c r="P36" s="59"/>
      <c r="Q36" s="121"/>
      <c r="R36" s="121"/>
      <c r="S36" s="121"/>
      <c r="T36" s="121"/>
      <c r="U36" s="121"/>
      <c r="V36" s="121"/>
      <c r="W36" s="121"/>
      <c r="X36" s="121"/>
      <c r="Y36" s="2"/>
      <c r="Z36" s="121"/>
      <c r="AA36" s="142"/>
      <c r="AB36" s="121"/>
      <c r="AC36" s="121"/>
      <c r="AD36" s="121"/>
      <c r="AE36" s="121"/>
      <c r="AF36" s="121"/>
      <c r="AG36" s="121"/>
      <c r="AH36" s="121"/>
      <c r="AI36" s="121"/>
      <c r="AJ36" s="121"/>
      <c r="AK36" s="32"/>
      <c r="AL36" s="32"/>
      <c r="AM36" s="5"/>
      <c r="AN36" s="32"/>
      <c r="AO36" s="5"/>
      <c r="AP36" s="5"/>
      <c r="AQ36" s="5"/>
      <c r="AS36" s="1"/>
      <c r="AT36" s="5"/>
      <c r="AU36" s="104"/>
      <c r="AV36" s="4"/>
      <c r="AW36" s="4"/>
      <c r="AX36" s="104"/>
      <c r="AY36" s="1"/>
      <c r="AZ36" s="4"/>
      <c r="BA36" s="1"/>
      <c r="BB36" s="4"/>
      <c r="BC36" s="1"/>
      <c r="BD36" s="1"/>
      <c r="BE36" s="4"/>
      <c r="BF36" s="1"/>
      <c r="BG36" s="1"/>
      <c r="BH36" s="3"/>
      <c r="BI36" s="3"/>
      <c r="BJ36" s="103"/>
      <c r="BK36" s="2"/>
      <c r="BL36" s="2"/>
      <c r="BM36" s="3"/>
      <c r="BN36" s="103"/>
      <c r="BO36" s="103"/>
      <c r="BP36" s="103"/>
      <c r="BQ36" s="103"/>
      <c r="BR36" s="103"/>
      <c r="BS36" s="103"/>
      <c r="BT36" s="103"/>
      <c r="BU36" s="103"/>
      <c r="BV36" s="3"/>
      <c r="BW36" s="103"/>
      <c r="BX36" s="103"/>
      <c r="BY36" s="103"/>
      <c r="BZ36" s="103"/>
      <c r="CA36" s="103"/>
      <c r="CB36" s="103"/>
      <c r="CC36" s="103"/>
      <c r="CD36" s="103"/>
      <c r="CE36" s="3"/>
      <c r="CF36" s="107"/>
      <c r="CG36" s="108"/>
      <c r="CH36" s="108"/>
      <c r="CS36" s="5"/>
      <c r="CT36" s="5"/>
      <c r="CU36" s="5"/>
      <c r="CV36" s="5"/>
      <c r="CW36" s="5"/>
      <c r="CX36" s="5"/>
      <c r="CY36" s="5"/>
      <c r="CZ36" s="5"/>
      <c r="DA36" s="5"/>
    </row>
    <row r="37" spans="1:105" x14ac:dyDescent="0.25">
      <c r="A37" s="132"/>
      <c r="B37" s="135"/>
      <c r="C37" s="111"/>
      <c r="D37" s="111"/>
      <c r="E37" s="136"/>
      <c r="F37" s="43"/>
      <c r="Q37" s="121"/>
      <c r="T37" s="121"/>
      <c r="U37" s="121"/>
      <c r="V37" s="121"/>
      <c r="W37" s="121"/>
      <c r="X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K37" s="32"/>
      <c r="AM37" s="5"/>
      <c r="AO37" s="5"/>
      <c r="AP37" s="5"/>
      <c r="AQ37" s="5"/>
      <c r="AT37" s="111" t="str">
        <f>C10</f>
        <v>Østensjøvann</v>
      </c>
      <c r="AU37" s="104">
        <f>AU10</f>
        <v>4.3651583224016563E-2</v>
      </c>
      <c r="AV37" s="4">
        <f>AV10</f>
        <v>1206.0981086880581</v>
      </c>
      <c r="AW37" s="4">
        <f>AW10</f>
        <v>319.84205330700888</v>
      </c>
      <c r="AX37" s="4">
        <f>AX10</f>
        <v>391.43105698129625</v>
      </c>
      <c r="AY37" s="1">
        <f>AY10</f>
        <v>69.51051097130582</v>
      </c>
      <c r="AZ37" s="4"/>
      <c r="BC37" s="1"/>
      <c r="BD37" s="1"/>
      <c r="BE37" s="4"/>
      <c r="BF37" s="1"/>
      <c r="BG37" s="1"/>
      <c r="CS37" s="5"/>
      <c r="CT37" s="5"/>
      <c r="CU37" s="5"/>
      <c r="CV37" s="5"/>
      <c r="CW37" s="5"/>
      <c r="CX37" s="5"/>
      <c r="CY37" s="5"/>
      <c r="CZ37" s="5"/>
      <c r="DA37" s="5"/>
    </row>
    <row r="38" spans="1:105" s="74" customFormat="1" x14ac:dyDescent="0.25">
      <c r="A38" s="132"/>
      <c r="B38" s="135"/>
      <c r="C38" s="111"/>
      <c r="D38" s="111"/>
      <c r="E38" s="136"/>
      <c r="F38" s="43"/>
      <c r="G38" s="43"/>
      <c r="H38" s="5"/>
      <c r="I38" s="5"/>
      <c r="J38" s="64"/>
      <c r="K38" s="67"/>
      <c r="L38" s="70"/>
      <c r="M38" s="73"/>
      <c r="N38" s="59"/>
      <c r="O38" s="59"/>
      <c r="P38" s="59"/>
      <c r="Q38" s="121"/>
      <c r="R38" s="121"/>
      <c r="S38" s="121"/>
      <c r="T38" s="121"/>
      <c r="U38" s="121"/>
      <c r="V38" s="121"/>
      <c r="W38" s="121"/>
      <c r="X38" s="121"/>
      <c r="Y38" s="2"/>
      <c r="Z38" s="121"/>
      <c r="AA38" s="142"/>
      <c r="AB38" s="121"/>
      <c r="AC38" s="121"/>
      <c r="AD38" s="121"/>
      <c r="AE38" s="121"/>
      <c r="AF38" s="121"/>
      <c r="AG38" s="121"/>
      <c r="AH38" s="121"/>
      <c r="AI38" s="121"/>
      <c r="AJ38" s="121"/>
      <c r="AK38" s="32"/>
      <c r="AL38" s="32"/>
      <c r="AM38" s="5"/>
      <c r="AN38" s="32"/>
      <c r="AO38" s="5"/>
      <c r="AP38" s="5"/>
      <c r="AQ38" s="5"/>
      <c r="AS38" s="1"/>
      <c r="AT38" s="5"/>
      <c r="AU38" s="104"/>
      <c r="AV38" s="4"/>
      <c r="AW38" s="4"/>
      <c r="AX38" s="104"/>
      <c r="AY38" s="1"/>
      <c r="AZ38" s="4">
        <f t="shared" ref="AZ38:BF38" si="45">AZ10</f>
        <v>216.62097908431423</v>
      </c>
      <c r="BA38" s="1">
        <f t="shared" si="45"/>
        <v>26.028999637903688</v>
      </c>
      <c r="BB38" s="4">
        <f t="shared" si="45"/>
        <v>429.55169537215397</v>
      </c>
      <c r="BC38" s="1">
        <f t="shared" si="45"/>
        <v>6.639108185837304</v>
      </c>
      <c r="BD38" s="1">
        <f t="shared" si="45"/>
        <v>6.1995479496286734</v>
      </c>
      <c r="BE38" s="4">
        <f t="shared" si="45"/>
        <v>1597.5554206731201</v>
      </c>
      <c r="BF38" s="1">
        <f t="shared" si="45"/>
        <v>32.361767447256355</v>
      </c>
      <c r="BG38" s="1"/>
      <c r="BH38" s="3"/>
      <c r="BI38" s="3"/>
      <c r="BJ38" s="103"/>
      <c r="BK38" s="2"/>
      <c r="BL38" s="2"/>
      <c r="BM38" s="3"/>
      <c r="BN38" s="103"/>
      <c r="BO38" s="103"/>
      <c r="BP38" s="103"/>
      <c r="BQ38" s="103"/>
      <c r="BR38" s="103"/>
      <c r="BS38" s="103"/>
      <c r="BT38" s="103"/>
      <c r="BU38" s="103"/>
      <c r="BV38" s="3"/>
      <c r="BW38" s="103"/>
      <c r="BX38" s="103"/>
      <c r="BY38" s="103"/>
      <c r="BZ38" s="103"/>
      <c r="CA38" s="103"/>
      <c r="CB38" s="103"/>
      <c r="CC38" s="103"/>
      <c r="CD38" s="103"/>
      <c r="CE38" s="3"/>
      <c r="CF38" s="107"/>
      <c r="CG38" s="108"/>
      <c r="CH38" s="108"/>
      <c r="CS38" s="5"/>
      <c r="CT38" s="5"/>
      <c r="CU38" s="5"/>
      <c r="CV38" s="5"/>
      <c r="CW38" s="5"/>
      <c r="CX38" s="5"/>
      <c r="CY38" s="5"/>
      <c r="CZ38" s="5"/>
      <c r="DA38" s="5"/>
    </row>
    <row r="39" spans="1:105" x14ac:dyDescent="0.25">
      <c r="A39" s="132"/>
      <c r="B39" s="135"/>
      <c r="C39" s="111"/>
      <c r="D39" s="111"/>
      <c r="E39" s="136"/>
      <c r="F39" s="43"/>
      <c r="Q39" s="121"/>
      <c r="T39" s="121"/>
      <c r="U39" s="121"/>
      <c r="V39" s="121"/>
      <c r="W39" s="121"/>
      <c r="X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K39" s="32"/>
      <c r="AM39" s="5"/>
      <c r="AO39" s="5"/>
      <c r="AP39" s="5"/>
      <c r="AQ39" s="5"/>
      <c r="AT39" s="5"/>
      <c r="AU39" s="104"/>
      <c r="AV39" s="4"/>
      <c r="AW39" s="104"/>
      <c r="AX39" s="104"/>
      <c r="AY39" s="104"/>
      <c r="AZ39" s="4"/>
      <c r="BC39" s="1"/>
      <c r="BD39" s="1"/>
      <c r="BE39" s="4"/>
      <c r="BF39" s="1"/>
      <c r="BG39" s="1"/>
      <c r="CS39" s="5"/>
      <c r="CT39" s="5"/>
      <c r="CU39" s="5"/>
      <c r="CV39" s="5"/>
      <c r="CW39" s="5"/>
      <c r="CX39" s="5"/>
      <c r="CY39" s="5"/>
      <c r="CZ39" s="5"/>
      <c r="DA39" s="5"/>
    </row>
    <row r="40" spans="1:105" x14ac:dyDescent="0.25">
      <c r="A40" s="132"/>
      <c r="B40" s="135"/>
      <c r="C40" s="111"/>
      <c r="D40" s="111"/>
      <c r="E40" s="136"/>
      <c r="F40" s="43"/>
      <c r="Q40" s="121"/>
      <c r="T40" s="121"/>
      <c r="U40" s="121"/>
      <c r="V40" s="121"/>
      <c r="W40" s="121"/>
      <c r="X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K40" s="32"/>
      <c r="AM40" s="5"/>
      <c r="AO40" s="5"/>
      <c r="AP40" s="5"/>
      <c r="AQ40" s="5"/>
      <c r="AT40" s="111" t="str">
        <f>C11</f>
        <v>Gjersjøen</v>
      </c>
      <c r="AU40" s="104">
        <f>AU11</f>
        <v>5.3703179637025193E-2</v>
      </c>
      <c r="AV40" s="4">
        <f>AV11</f>
        <v>813.81306452417778</v>
      </c>
      <c r="AW40" s="1">
        <f>AW11</f>
        <v>217.58802237578152</v>
      </c>
      <c r="AX40" s="4">
        <f>AX11</f>
        <v>564.46280991735546</v>
      </c>
      <c r="AY40" s="104">
        <f>AY11</f>
        <v>60.585136310163172</v>
      </c>
      <c r="BC40" s="1"/>
      <c r="BD40" s="1"/>
      <c r="BE40" s="4"/>
      <c r="BF40" s="1"/>
      <c r="BG40" s="1"/>
      <c r="CS40" s="5"/>
      <c r="CT40" s="5"/>
      <c r="CU40" s="5"/>
      <c r="CV40" s="5"/>
      <c r="CW40" s="5"/>
      <c r="CX40" s="5"/>
      <c r="CY40" s="5"/>
      <c r="CZ40" s="5"/>
      <c r="DA40" s="5"/>
    </row>
    <row r="41" spans="1:105" s="74" customFormat="1" x14ac:dyDescent="0.25">
      <c r="A41" s="132"/>
      <c r="B41" s="135"/>
      <c r="C41" s="111"/>
      <c r="D41" s="111"/>
      <c r="E41" s="136"/>
      <c r="F41" s="43"/>
      <c r="G41" s="43"/>
      <c r="H41" s="5"/>
      <c r="I41" s="5"/>
      <c r="J41" s="64"/>
      <c r="K41" s="67"/>
      <c r="L41" s="70"/>
      <c r="M41" s="73"/>
      <c r="N41" s="59"/>
      <c r="O41" s="59"/>
      <c r="P41" s="59"/>
      <c r="Q41" s="121"/>
      <c r="R41" s="121"/>
      <c r="S41" s="121"/>
      <c r="T41" s="121"/>
      <c r="U41" s="121"/>
      <c r="V41" s="121"/>
      <c r="W41" s="121"/>
      <c r="X41" s="121"/>
      <c r="Y41" s="2"/>
      <c r="Z41" s="121"/>
      <c r="AA41" s="142"/>
      <c r="AB41" s="121"/>
      <c r="AC41" s="121"/>
      <c r="AD41" s="121"/>
      <c r="AE41" s="121"/>
      <c r="AF41" s="121"/>
      <c r="AG41" s="121"/>
      <c r="AH41" s="121"/>
      <c r="AI41" s="121"/>
      <c r="AJ41" s="121"/>
      <c r="AK41" s="32"/>
      <c r="AL41" s="32"/>
      <c r="AM41" s="5"/>
      <c r="AN41" s="32"/>
      <c r="AO41" s="5"/>
      <c r="AP41" s="5"/>
      <c r="AQ41" s="5"/>
      <c r="AS41" s="1"/>
      <c r="AT41" s="5"/>
      <c r="AU41" s="104"/>
      <c r="AV41" s="4"/>
      <c r="AW41" s="104"/>
      <c r="AX41" s="104"/>
      <c r="AY41" s="104"/>
      <c r="AZ41" s="1">
        <f t="shared" ref="AZ41:BF41" si="46">AZ11</f>
        <v>330.52531380932891</v>
      </c>
      <c r="BA41" s="1">
        <f t="shared" si="46"/>
        <v>61.982730408513916</v>
      </c>
      <c r="BB41" s="4">
        <f t="shared" si="46"/>
        <v>669.51847957621862</v>
      </c>
      <c r="BC41" s="1">
        <f t="shared" si="46"/>
        <v>5.7942870539914475</v>
      </c>
      <c r="BD41" s="1">
        <f t="shared" si="46"/>
        <v>0.58120762027768813</v>
      </c>
      <c r="BE41" s="4">
        <f t="shared" si="46"/>
        <v>762.13104088384182</v>
      </c>
      <c r="BF41" s="1">
        <f t="shared" si="46"/>
        <v>48.72688830343531</v>
      </c>
      <c r="BG41" s="1"/>
      <c r="BH41" s="3"/>
      <c r="BI41" s="3"/>
      <c r="BJ41" s="103"/>
      <c r="BK41" s="2"/>
      <c r="BL41" s="2"/>
      <c r="BM41" s="3"/>
      <c r="BN41" s="103"/>
      <c r="BO41" s="103"/>
      <c r="BP41" s="103"/>
      <c r="BQ41" s="103"/>
      <c r="BR41" s="103"/>
      <c r="BS41" s="103"/>
      <c r="BT41" s="103"/>
      <c r="BU41" s="103"/>
      <c r="BV41" s="3"/>
      <c r="BW41" s="103"/>
      <c r="BX41" s="103"/>
      <c r="BY41" s="103"/>
      <c r="BZ41" s="103"/>
      <c r="CA41" s="103"/>
      <c r="CB41" s="103"/>
      <c r="CC41" s="103"/>
      <c r="CD41" s="103"/>
      <c r="CE41" s="3"/>
      <c r="CF41" s="107"/>
      <c r="CG41" s="108"/>
      <c r="CH41" s="108"/>
      <c r="CS41" s="5"/>
      <c r="CT41" s="5"/>
      <c r="CU41" s="5"/>
      <c r="CV41" s="5"/>
      <c r="CW41" s="5"/>
      <c r="CX41" s="5"/>
      <c r="CY41" s="5"/>
      <c r="CZ41" s="5"/>
      <c r="DA41" s="5"/>
    </row>
    <row r="42" spans="1:105" s="74" customFormat="1" x14ac:dyDescent="0.25">
      <c r="A42" s="132"/>
      <c r="B42" s="135"/>
      <c r="C42" s="111"/>
      <c r="D42" s="111"/>
      <c r="E42" s="136"/>
      <c r="F42" s="43"/>
      <c r="G42" s="43"/>
      <c r="H42" s="5"/>
      <c r="I42" s="5"/>
      <c r="J42" s="64"/>
      <c r="K42" s="67"/>
      <c r="L42" s="70"/>
      <c r="M42" s="73"/>
      <c r="N42" s="59"/>
      <c r="O42" s="59"/>
      <c r="P42" s="59"/>
      <c r="Q42" s="121"/>
      <c r="R42" s="121"/>
      <c r="S42" s="121"/>
      <c r="T42" s="121"/>
      <c r="U42" s="121"/>
      <c r="V42" s="121"/>
      <c r="W42" s="121"/>
      <c r="X42" s="121"/>
      <c r="Y42" s="2"/>
      <c r="Z42" s="121"/>
      <c r="AA42" s="142"/>
      <c r="AB42" s="121"/>
      <c r="AC42" s="121"/>
      <c r="AD42" s="121"/>
      <c r="AE42" s="121"/>
      <c r="AF42" s="121"/>
      <c r="AG42" s="121"/>
      <c r="AH42" s="121"/>
      <c r="AI42" s="121"/>
      <c r="AJ42" s="121"/>
      <c r="AK42" s="32"/>
      <c r="AL42" s="32"/>
      <c r="AM42" s="5"/>
      <c r="AN42" s="32"/>
      <c r="AO42" s="5"/>
      <c r="AP42" s="5"/>
      <c r="AQ42" s="5"/>
      <c r="AS42" s="1"/>
      <c r="AT42" s="5"/>
      <c r="AU42" s="104"/>
      <c r="AV42" s="4"/>
      <c r="AW42" s="104"/>
      <c r="AX42" s="104"/>
      <c r="AY42" s="104"/>
      <c r="AZ42" s="1"/>
      <c r="BA42" s="1"/>
      <c r="BB42" s="1"/>
      <c r="BC42" s="1"/>
      <c r="BD42" s="1"/>
      <c r="BE42" s="4"/>
      <c r="BF42" s="1"/>
      <c r="BG42" s="1"/>
      <c r="BH42" s="3"/>
      <c r="BI42" s="3"/>
      <c r="BJ42" s="103"/>
      <c r="BK42" s="2"/>
      <c r="BL42" s="2"/>
      <c r="BM42" s="3"/>
      <c r="BN42" s="103"/>
      <c r="BO42" s="103"/>
      <c r="BP42" s="103"/>
      <c r="BQ42" s="103"/>
      <c r="BR42" s="103"/>
      <c r="BS42" s="103"/>
      <c r="BT42" s="103"/>
      <c r="BU42" s="103"/>
      <c r="BV42" s="3"/>
      <c r="BW42" s="103"/>
      <c r="BX42" s="103"/>
      <c r="BY42" s="103"/>
      <c r="BZ42" s="103"/>
      <c r="CA42" s="103"/>
      <c r="CB42" s="103"/>
      <c r="CC42" s="103"/>
      <c r="CD42" s="103"/>
      <c r="CE42" s="3"/>
      <c r="CF42" s="107"/>
      <c r="CG42" s="108"/>
      <c r="CH42" s="108"/>
      <c r="CS42" s="5"/>
      <c r="CT42" s="5"/>
      <c r="CU42" s="5"/>
      <c r="CV42" s="5"/>
      <c r="CW42" s="5"/>
      <c r="CX42" s="5"/>
      <c r="CY42" s="5"/>
      <c r="CZ42" s="5"/>
      <c r="DA42" s="5"/>
    </row>
    <row r="43" spans="1:105" x14ac:dyDescent="0.25">
      <c r="A43" s="132"/>
      <c r="B43" s="135"/>
      <c r="C43" s="111"/>
      <c r="D43" s="111"/>
      <c r="E43" s="136"/>
      <c r="F43" s="43"/>
      <c r="Q43" s="121"/>
      <c r="T43" s="121"/>
      <c r="U43" s="121"/>
      <c r="V43" s="121"/>
      <c r="W43" s="121"/>
      <c r="X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K43" s="32"/>
      <c r="AM43" s="5"/>
      <c r="AO43" s="5"/>
      <c r="AP43" s="5"/>
      <c r="AQ43" s="5"/>
      <c r="AT43" s="111" t="str">
        <f>C12</f>
        <v>Årungen</v>
      </c>
      <c r="AU43" s="104">
        <f>AU12</f>
        <v>6.6069344800759433E-2</v>
      </c>
      <c r="AV43" s="1">
        <f>AV12</f>
        <v>827.28679075802177</v>
      </c>
      <c r="AW43" s="1">
        <f>AW12</f>
        <v>261.92826587693321</v>
      </c>
      <c r="AX43" s="104">
        <f>AX12</f>
        <v>457.80774249673777</v>
      </c>
      <c r="AY43" s="104">
        <f>AY12</f>
        <v>84.241215283105731</v>
      </c>
      <c r="BB43" s="1"/>
      <c r="BC43" s="1"/>
      <c r="BD43" s="1"/>
      <c r="BE43" s="4"/>
      <c r="BF43" s="1"/>
      <c r="BG43" s="1"/>
      <c r="CS43" s="5"/>
      <c r="CT43" s="5"/>
      <c r="CU43" s="5"/>
      <c r="CV43" s="5"/>
      <c r="CW43" s="5"/>
      <c r="CX43" s="5"/>
      <c r="CY43" s="5"/>
      <c r="CZ43" s="5"/>
      <c r="DA43" s="5"/>
    </row>
    <row r="44" spans="1:105" s="74" customFormat="1" x14ac:dyDescent="0.25">
      <c r="A44" s="132"/>
      <c r="B44" s="135"/>
      <c r="C44" s="111"/>
      <c r="D44" s="111"/>
      <c r="E44" s="136"/>
      <c r="F44" s="43"/>
      <c r="G44" s="43"/>
      <c r="H44" s="5"/>
      <c r="I44" s="5"/>
      <c r="J44" s="64"/>
      <c r="K44" s="67"/>
      <c r="L44" s="70"/>
      <c r="M44" s="73"/>
      <c r="N44" s="59"/>
      <c r="O44" s="59"/>
      <c r="P44" s="59"/>
      <c r="Q44" s="121"/>
      <c r="R44" s="121"/>
      <c r="S44" s="121"/>
      <c r="T44" s="121"/>
      <c r="U44" s="121"/>
      <c r="V44" s="121"/>
      <c r="W44" s="121"/>
      <c r="X44" s="121"/>
      <c r="Y44" s="2"/>
      <c r="Z44" s="121"/>
      <c r="AA44" s="142"/>
      <c r="AB44" s="121"/>
      <c r="AC44" s="121"/>
      <c r="AD44" s="121"/>
      <c r="AE44" s="121"/>
      <c r="AF44" s="121"/>
      <c r="AG44" s="121"/>
      <c r="AH44" s="121"/>
      <c r="AI44" s="121"/>
      <c r="AJ44" s="121"/>
      <c r="AK44" s="32"/>
      <c r="AL44" s="32"/>
      <c r="AM44" s="5"/>
      <c r="AN44" s="32"/>
      <c r="AO44" s="5"/>
      <c r="AP44" s="5"/>
      <c r="AQ44" s="5"/>
      <c r="AS44" s="1"/>
      <c r="AT44" s="5"/>
      <c r="AU44" s="104"/>
      <c r="AV44" s="4"/>
      <c r="AW44" s="104"/>
      <c r="AX44" s="104"/>
      <c r="AY44" s="104"/>
      <c r="AZ44" s="1">
        <f t="shared" ref="AZ44:BF44" si="47">AZ12</f>
        <v>248.57582620458192</v>
      </c>
      <c r="BA44" s="1">
        <f t="shared" si="47"/>
        <v>109.81236757878384</v>
      </c>
      <c r="BB44" s="1">
        <f t="shared" si="47"/>
        <v>611.53898799240415</v>
      </c>
      <c r="BC44" s="1">
        <f t="shared" si="47"/>
        <v>11.927606761720719</v>
      </c>
      <c r="BD44" s="1">
        <f t="shared" si="47"/>
        <v>3.4872457216661288</v>
      </c>
      <c r="BE44" s="4">
        <f t="shared" si="47"/>
        <v>951.43939102091826</v>
      </c>
      <c r="BF44" s="1">
        <f t="shared" si="47"/>
        <v>51.050132167962396</v>
      </c>
      <c r="BG44" s="1"/>
      <c r="BH44" s="3"/>
      <c r="BI44" s="3"/>
      <c r="BJ44" s="103"/>
      <c r="BK44" s="2"/>
      <c r="BL44" s="2"/>
      <c r="BM44" s="3"/>
      <c r="BN44" s="103"/>
      <c r="BO44" s="103"/>
      <c r="BP44" s="103"/>
      <c r="BQ44" s="103"/>
      <c r="BR44" s="103"/>
      <c r="BS44" s="103"/>
      <c r="BT44" s="103"/>
      <c r="BU44" s="103"/>
      <c r="BV44" s="3"/>
      <c r="BW44" s="103"/>
      <c r="BX44" s="103"/>
      <c r="BY44" s="103"/>
      <c r="BZ44" s="103"/>
      <c r="CA44" s="103"/>
      <c r="CB44" s="103"/>
      <c r="CC44" s="103"/>
      <c r="CD44" s="103"/>
      <c r="CE44" s="3"/>
      <c r="CF44" s="107"/>
      <c r="CG44" s="108"/>
      <c r="CH44" s="108"/>
      <c r="CS44" s="5"/>
      <c r="CT44" s="5"/>
      <c r="CU44" s="5"/>
      <c r="CV44" s="5"/>
      <c r="CW44" s="5"/>
      <c r="CX44" s="5"/>
      <c r="CY44" s="5"/>
      <c r="CZ44" s="5"/>
      <c r="DA44" s="5"/>
    </row>
    <row r="45" spans="1:105" x14ac:dyDescent="0.25">
      <c r="A45" s="132"/>
      <c r="B45" s="135"/>
      <c r="C45" s="111"/>
      <c r="D45" s="111"/>
      <c r="E45" s="136"/>
      <c r="F45" s="43"/>
      <c r="Q45" s="121"/>
      <c r="T45" s="121"/>
      <c r="U45" s="121"/>
      <c r="V45" s="121"/>
      <c r="W45" s="121"/>
      <c r="X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K45" s="32"/>
      <c r="AM45" s="5"/>
      <c r="AO45" s="5"/>
      <c r="AP45" s="5"/>
      <c r="AQ45" s="5"/>
      <c r="AT45" s="5"/>
      <c r="AU45" s="104"/>
      <c r="AV45" s="4"/>
      <c r="AW45" s="104"/>
      <c r="AX45" s="104"/>
      <c r="AY45" s="104"/>
      <c r="BB45" s="1"/>
      <c r="BC45" s="1"/>
      <c r="BD45" s="1"/>
      <c r="BE45" s="4"/>
      <c r="BF45" s="1"/>
      <c r="BG45" s="1"/>
      <c r="CS45" s="5"/>
      <c r="CT45" s="5"/>
      <c r="CU45" s="5"/>
      <c r="CV45" s="5"/>
      <c r="CW45" s="5"/>
      <c r="CX45" s="5"/>
      <c r="CY45" s="5"/>
      <c r="CZ45" s="5"/>
      <c r="DA45" s="5"/>
    </row>
    <row r="46" spans="1:105" x14ac:dyDescent="0.25">
      <c r="A46" s="132"/>
      <c r="B46" s="135"/>
      <c r="C46" s="111"/>
      <c r="D46" s="111"/>
      <c r="E46" s="136"/>
      <c r="F46" s="43"/>
      <c r="Q46" s="121"/>
      <c r="T46" s="121"/>
      <c r="U46" s="121"/>
      <c r="V46" s="121"/>
      <c r="W46" s="121"/>
      <c r="X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K46" s="32"/>
      <c r="AM46" s="5"/>
      <c r="AO46" s="5"/>
      <c r="AP46" s="5"/>
      <c r="AQ46" s="5"/>
      <c r="AT46" s="111" t="str">
        <f>C13</f>
        <v>Sværsvann</v>
      </c>
      <c r="AU46" s="104">
        <f>AU13</f>
        <v>0.61659500186148142</v>
      </c>
      <c r="AV46" s="4">
        <f>AV13</f>
        <v>185.93742202704723</v>
      </c>
      <c r="AW46" s="4">
        <f>AW13</f>
        <v>69.151036525172756</v>
      </c>
      <c r="AX46" s="4">
        <f>AX13</f>
        <v>192.30100043497174</v>
      </c>
      <c r="AY46" s="1">
        <f>AY13</f>
        <v>19.794383918981129</v>
      </c>
      <c r="BB46" s="1"/>
      <c r="BC46" s="1"/>
      <c r="BD46" s="1"/>
      <c r="BE46" s="4"/>
      <c r="BF46" s="1"/>
      <c r="BG46" s="1"/>
      <c r="CS46" s="5"/>
      <c r="CT46" s="5"/>
      <c r="CU46" s="5"/>
      <c r="CV46" s="5"/>
      <c r="CW46" s="5"/>
      <c r="CX46" s="5"/>
      <c r="CY46" s="5"/>
      <c r="CZ46" s="5"/>
      <c r="DA46" s="5"/>
    </row>
    <row r="47" spans="1:105" x14ac:dyDescent="0.25">
      <c r="A47" s="132"/>
      <c r="B47" s="135"/>
      <c r="C47" s="111"/>
      <c r="D47" s="111"/>
      <c r="E47" s="136"/>
      <c r="F47" s="43"/>
      <c r="Q47" s="121"/>
      <c r="T47" s="121"/>
      <c r="U47" s="121"/>
      <c r="V47" s="121"/>
      <c r="W47" s="121"/>
      <c r="X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K47" s="32"/>
      <c r="AM47" s="5"/>
      <c r="AO47" s="5"/>
      <c r="AP47" s="5"/>
      <c r="AQ47" s="5"/>
      <c r="AT47" s="5"/>
      <c r="AU47" s="104"/>
      <c r="AV47" s="4"/>
      <c r="AW47" s="104"/>
      <c r="AX47" s="104"/>
      <c r="AY47" s="104"/>
      <c r="AZ47" s="4">
        <f t="shared" ref="AZ47:BF47" si="48">AZ13</f>
        <v>59.436735615443951</v>
      </c>
      <c r="BA47" s="1">
        <f t="shared" si="48"/>
        <v>4.4001622629960915</v>
      </c>
      <c r="BB47" s="4">
        <f t="shared" si="48"/>
        <v>178.11220590938063</v>
      </c>
      <c r="BC47" s="1">
        <f t="shared" si="48"/>
        <v>5.195892222335261</v>
      </c>
      <c r="BD47" s="1">
        <f t="shared" si="48"/>
        <v>0.58120762027768813</v>
      </c>
      <c r="BE47" s="4">
        <f t="shared" si="48"/>
        <v>178.53917676191134</v>
      </c>
      <c r="BF47" s="1">
        <f t="shared" si="48"/>
        <v>68.312993717803991</v>
      </c>
      <c r="BG47" s="1"/>
      <c r="CS47" s="5"/>
      <c r="CT47" s="5"/>
      <c r="CU47" s="5"/>
      <c r="CV47" s="5"/>
      <c r="CW47" s="5"/>
      <c r="CX47" s="5"/>
      <c r="CY47" s="5"/>
      <c r="CZ47" s="5"/>
      <c r="DA47" s="5"/>
    </row>
    <row r="48" spans="1:105" x14ac:dyDescent="0.25">
      <c r="A48" s="132"/>
      <c r="B48" s="135"/>
      <c r="C48" s="111"/>
      <c r="D48" s="111"/>
      <c r="E48" s="136"/>
      <c r="F48" s="43"/>
      <c r="Q48" s="121"/>
      <c r="T48" s="121"/>
      <c r="U48" s="121"/>
      <c r="V48" s="121"/>
      <c r="W48" s="121"/>
      <c r="X48" s="121"/>
      <c r="Z48" s="121"/>
      <c r="AA48" s="121"/>
      <c r="AB48" s="121"/>
      <c r="AC48" s="121"/>
      <c r="AD48" s="121"/>
      <c r="AE48" s="143"/>
      <c r="AF48" s="143"/>
      <c r="AG48" s="121"/>
      <c r="AH48" s="121"/>
      <c r="AI48" s="121"/>
      <c r="AK48" s="32"/>
      <c r="AM48" s="5"/>
      <c r="AO48" s="5"/>
      <c r="AP48" s="5"/>
      <c r="AQ48" s="5"/>
      <c r="AT48" s="5"/>
      <c r="AU48" s="104"/>
      <c r="AV48" s="4"/>
      <c r="AW48" s="104"/>
      <c r="AX48" s="104"/>
      <c r="AY48" s="104"/>
      <c r="AZ48" s="4"/>
      <c r="BB48" s="1"/>
      <c r="BC48" s="1"/>
      <c r="BD48" s="1"/>
      <c r="BE48" s="4"/>
      <c r="BF48" s="1"/>
      <c r="BG48" s="1"/>
      <c r="CS48" s="5"/>
      <c r="CT48" s="5"/>
      <c r="CU48" s="5"/>
      <c r="CV48" s="5"/>
      <c r="CW48" s="5"/>
      <c r="CX48" s="5"/>
      <c r="CY48" s="5"/>
      <c r="CZ48" s="5"/>
      <c r="DA48" s="5"/>
    </row>
    <row r="49" spans="1:105" ht="18" x14ac:dyDescent="0.25">
      <c r="A49" s="132"/>
      <c r="B49" s="135"/>
      <c r="C49" s="111"/>
      <c r="D49" s="111"/>
      <c r="E49" s="136"/>
      <c r="F49" s="43"/>
      <c r="Q49" s="121"/>
      <c r="T49" s="121"/>
      <c r="U49" s="121"/>
      <c r="V49" s="121"/>
      <c r="W49" s="121"/>
      <c r="X49" s="121"/>
      <c r="Z49" s="121"/>
      <c r="AA49" s="79"/>
      <c r="AB49" s="79"/>
      <c r="AC49" s="121"/>
      <c r="AD49" s="121"/>
      <c r="AE49" s="187"/>
      <c r="AF49" s="187"/>
      <c r="AG49" s="121"/>
      <c r="AH49" s="121"/>
      <c r="AI49" s="121"/>
      <c r="AK49" s="32"/>
      <c r="AM49" s="5"/>
      <c r="AO49" s="5"/>
      <c r="AP49" s="5"/>
      <c r="AQ49" s="5"/>
      <c r="AT49" s="28" t="str">
        <f>C14</f>
        <v>Solbergvannet</v>
      </c>
      <c r="AU49" s="104">
        <f>AU14</f>
        <v>2.7542287033381663</v>
      </c>
      <c r="AV49" s="4">
        <f>AV14</f>
        <v>153.15135485802682</v>
      </c>
      <c r="AW49" s="1">
        <f>AW14</f>
        <v>54.647910496873969</v>
      </c>
      <c r="AX49" s="1">
        <f>AX14</f>
        <v>80.382775119617236</v>
      </c>
      <c r="AY49" s="104">
        <f>AY14</f>
        <v>10.482839752442331</v>
      </c>
      <c r="AZ49" s="4"/>
      <c r="BB49" s="1"/>
      <c r="BC49" s="1"/>
      <c r="BD49" s="1"/>
      <c r="BE49" s="4"/>
      <c r="BF49" s="1"/>
      <c r="BG49" s="1"/>
      <c r="CS49" s="5"/>
      <c r="CT49" s="5"/>
      <c r="CU49" s="5"/>
      <c r="CV49" s="5"/>
      <c r="CW49" s="5"/>
      <c r="CX49" s="5"/>
      <c r="CY49" s="5"/>
      <c r="CZ49" s="5"/>
      <c r="DA49" s="5"/>
    </row>
    <row r="50" spans="1:105" s="74" customFormat="1" ht="18" x14ac:dyDescent="0.25">
      <c r="A50" s="132"/>
      <c r="B50" s="135"/>
      <c r="C50" s="111"/>
      <c r="D50" s="111"/>
      <c r="E50" s="136"/>
      <c r="F50" s="43"/>
      <c r="G50" s="43"/>
      <c r="H50" s="5"/>
      <c r="I50" s="5"/>
      <c r="J50" s="64"/>
      <c r="K50" s="67"/>
      <c r="L50" s="70"/>
      <c r="M50" s="73"/>
      <c r="N50" s="59"/>
      <c r="O50" s="59"/>
      <c r="P50" s="59"/>
      <c r="Q50" s="121"/>
      <c r="R50" s="121"/>
      <c r="S50" s="121"/>
      <c r="T50" s="121"/>
      <c r="U50" s="121"/>
      <c r="V50" s="121"/>
      <c r="W50" s="121"/>
      <c r="X50" s="121"/>
      <c r="Y50" s="2"/>
      <c r="Z50" s="121"/>
      <c r="AA50" s="121"/>
      <c r="AB50" s="121"/>
      <c r="AC50" s="121"/>
      <c r="AD50" s="121"/>
      <c r="AE50" s="187"/>
      <c r="AF50" s="187"/>
      <c r="AG50" s="121"/>
      <c r="AH50" s="121"/>
      <c r="AI50" s="121"/>
      <c r="AJ50" s="121"/>
      <c r="AK50" s="32"/>
      <c r="AL50" s="32"/>
      <c r="AM50" s="5"/>
      <c r="AN50" s="32"/>
      <c r="AO50" s="5"/>
      <c r="AP50" s="5"/>
      <c r="AQ50" s="5"/>
      <c r="AS50" s="1"/>
      <c r="AT50" s="111"/>
      <c r="AU50" s="1"/>
      <c r="AV50" s="1"/>
      <c r="AW50" s="1"/>
      <c r="AX50" s="1"/>
      <c r="AY50" s="1"/>
      <c r="AZ50" s="4">
        <f t="shared" ref="AZ50:BF50" si="49">AZ14</f>
        <v>55.773810588538126</v>
      </c>
      <c r="BA50" s="1">
        <f t="shared" si="49"/>
        <v>2.3302985056023502</v>
      </c>
      <c r="BB50" s="1">
        <f t="shared" si="49"/>
        <v>66.784560978286862</v>
      </c>
      <c r="BC50" s="1">
        <f t="shared" si="49"/>
        <v>3.1553663197047332</v>
      </c>
      <c r="BD50" s="1">
        <f t="shared" si="49"/>
        <v>0.29060381013884407</v>
      </c>
      <c r="BE50" s="4">
        <f t="shared" si="49"/>
        <v>79.689872067314028</v>
      </c>
      <c r="BF50" s="1">
        <f t="shared" si="49"/>
        <v>89.062445574212532</v>
      </c>
      <c r="BG50" s="1"/>
      <c r="BH50" s="3"/>
      <c r="BI50" s="3"/>
      <c r="BJ50" s="103"/>
      <c r="BK50" s="2"/>
      <c r="BL50" s="2"/>
      <c r="BM50" s="3"/>
      <c r="BN50" s="103"/>
      <c r="BO50" s="103"/>
      <c r="BP50" s="103"/>
      <c r="BQ50" s="103"/>
      <c r="BR50" s="103"/>
      <c r="BS50" s="103"/>
      <c r="BT50" s="103"/>
      <c r="BU50" s="103"/>
      <c r="BV50" s="3"/>
      <c r="BW50" s="103"/>
      <c r="BX50" s="103"/>
      <c r="BY50" s="103"/>
      <c r="BZ50" s="103"/>
      <c r="CA50" s="103"/>
      <c r="CB50" s="103"/>
      <c r="CC50" s="103"/>
      <c r="CD50" s="103"/>
      <c r="CE50" s="3"/>
      <c r="CF50" s="107"/>
      <c r="CG50" s="108"/>
      <c r="CH50" s="108"/>
      <c r="CS50" s="5"/>
      <c r="CT50" s="5"/>
      <c r="CU50" s="5"/>
      <c r="CV50" s="5"/>
      <c r="CW50" s="5"/>
      <c r="CX50" s="5"/>
      <c r="CY50" s="5"/>
      <c r="CZ50" s="5"/>
      <c r="DA50" s="5"/>
    </row>
    <row r="51" spans="1:105" s="74" customFormat="1" ht="15.75" x14ac:dyDescent="0.25">
      <c r="A51" s="132"/>
      <c r="B51" s="135"/>
      <c r="C51" s="111"/>
      <c r="D51" s="111"/>
      <c r="E51" s="136"/>
      <c r="F51" s="43"/>
      <c r="G51" s="43"/>
      <c r="H51" s="5"/>
      <c r="I51" s="5"/>
      <c r="J51" s="64"/>
      <c r="K51" s="67"/>
      <c r="L51" s="70"/>
      <c r="M51" s="73"/>
      <c r="N51" s="59"/>
      <c r="O51" s="59"/>
      <c r="P51" s="59"/>
      <c r="Q51" s="121"/>
      <c r="R51" s="121"/>
      <c r="S51" s="121"/>
      <c r="T51" s="121"/>
      <c r="U51" s="121"/>
      <c r="V51" s="121"/>
      <c r="W51" s="121"/>
      <c r="X51" s="121"/>
      <c r="Y51" s="2"/>
      <c r="Z51" s="121"/>
      <c r="AA51" s="121"/>
      <c r="AB51" s="121"/>
      <c r="AC51" s="121"/>
      <c r="AD51" s="121"/>
      <c r="AE51" s="188"/>
      <c r="AF51" s="188"/>
      <c r="AG51" s="121"/>
      <c r="AH51" s="121"/>
      <c r="AI51" s="121"/>
      <c r="AJ51" s="121"/>
      <c r="AK51" s="32"/>
      <c r="AL51" s="32"/>
      <c r="AM51" s="5"/>
      <c r="AN51" s="32"/>
      <c r="AO51" s="5"/>
      <c r="AP51" s="5"/>
      <c r="AQ51" s="5"/>
      <c r="AR51" s="5"/>
      <c r="AS51" s="1"/>
      <c r="AT51" s="111"/>
      <c r="AU51" s="1"/>
      <c r="AV51" s="1"/>
      <c r="AW51" s="1"/>
      <c r="AX51" s="1"/>
      <c r="AY51" s="1"/>
      <c r="AZ51" s="1"/>
      <c r="BA51" s="1"/>
      <c r="BB51" s="4"/>
      <c r="BC51" s="4"/>
      <c r="BD51" s="104"/>
      <c r="BE51" s="43"/>
      <c r="BF51" s="43"/>
      <c r="BG51" s="55"/>
      <c r="BH51" s="3"/>
      <c r="BI51" s="3"/>
      <c r="BJ51" s="103"/>
      <c r="BK51" s="2"/>
      <c r="BL51" s="2"/>
      <c r="BM51" s="3"/>
      <c r="BN51" s="103"/>
      <c r="BO51" s="103"/>
      <c r="BP51" s="103"/>
      <c r="BQ51" s="103"/>
      <c r="BR51" s="103"/>
      <c r="BS51" s="103"/>
      <c r="BT51" s="103"/>
      <c r="BU51" s="103"/>
      <c r="BV51" s="3"/>
      <c r="BW51" s="103"/>
      <c r="BX51" s="103"/>
      <c r="BY51" s="103"/>
      <c r="BZ51" s="103"/>
      <c r="CA51" s="103"/>
      <c r="CB51" s="103"/>
      <c r="CC51" s="103"/>
      <c r="CD51" s="103"/>
      <c r="CE51" s="3"/>
      <c r="CF51" s="107"/>
      <c r="CG51" s="108"/>
      <c r="CH51" s="108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5.75" x14ac:dyDescent="0.25">
      <c r="A52" s="132"/>
      <c r="B52" s="135"/>
      <c r="C52" s="111"/>
      <c r="D52" s="111"/>
      <c r="E52" s="136"/>
      <c r="F52" s="43"/>
      <c r="Q52" s="121"/>
      <c r="T52" s="121"/>
      <c r="U52" s="121"/>
      <c r="V52" s="121"/>
      <c r="W52" s="121"/>
      <c r="X52" s="121"/>
      <c r="Z52" s="121"/>
      <c r="AA52" s="121"/>
      <c r="AB52" s="121"/>
      <c r="AC52" s="121"/>
      <c r="AD52" s="121"/>
      <c r="AE52" s="188"/>
      <c r="AF52" s="188"/>
      <c r="AG52" s="121"/>
      <c r="AH52" s="121"/>
      <c r="AI52" s="121"/>
      <c r="AK52" s="32"/>
      <c r="AM52" s="5"/>
      <c r="AO52" s="5"/>
      <c r="AP52" s="5"/>
      <c r="AQ52" s="5"/>
      <c r="A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5.75" x14ac:dyDescent="0.25">
      <c r="A53" s="132"/>
      <c r="B53" s="135"/>
      <c r="C53" s="111"/>
      <c r="D53" s="111"/>
      <c r="E53" s="136"/>
      <c r="F53" s="43"/>
      <c r="Q53" s="121"/>
      <c r="T53" s="121"/>
      <c r="U53" s="121"/>
      <c r="V53" s="121"/>
      <c r="W53" s="121"/>
      <c r="X53" s="121"/>
      <c r="Z53" s="121"/>
      <c r="AA53" s="121"/>
      <c r="AB53" s="121"/>
      <c r="AC53" s="121"/>
      <c r="AD53" s="121"/>
      <c r="AE53" s="188"/>
      <c r="AF53" s="188"/>
      <c r="AG53" s="121"/>
      <c r="AH53" s="121"/>
      <c r="AI53" s="121"/>
      <c r="AK53" s="32"/>
      <c r="AM53" s="5"/>
      <c r="AO53" s="5"/>
      <c r="AP53" s="5"/>
      <c r="AQ53" s="5"/>
      <c r="A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ht="15.75" x14ac:dyDescent="0.25">
      <c r="A54" s="132"/>
      <c r="B54" s="135"/>
      <c r="C54" s="111"/>
      <c r="D54" s="111"/>
      <c r="E54" s="136"/>
      <c r="F54" s="43"/>
      <c r="Q54" s="121"/>
      <c r="T54" s="121"/>
      <c r="U54" s="121"/>
      <c r="V54" s="121"/>
      <c r="W54" s="121"/>
      <c r="X54" s="121"/>
      <c r="Z54" s="121"/>
      <c r="AA54" s="121"/>
      <c r="AB54" s="121"/>
      <c r="AC54" s="121"/>
      <c r="AD54" s="121"/>
      <c r="AE54" s="188"/>
      <c r="AF54" s="188"/>
      <c r="AG54" s="121"/>
      <c r="AH54" s="121"/>
      <c r="AI54" s="121"/>
      <c r="AK54" s="32"/>
      <c r="AM54" s="5"/>
      <c r="AO54" s="5"/>
      <c r="AP54" s="5"/>
      <c r="AQ54" s="5"/>
      <c r="A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:105" ht="15.75" x14ac:dyDescent="0.25">
      <c r="A55" s="132"/>
      <c r="B55" s="135"/>
      <c r="C55" s="111"/>
      <c r="D55" s="111"/>
      <c r="E55" s="136"/>
      <c r="F55" s="43"/>
      <c r="Q55" s="121"/>
      <c r="T55" s="121"/>
      <c r="U55" s="121"/>
      <c r="V55" s="121"/>
      <c r="W55" s="121"/>
      <c r="X55" s="121"/>
      <c r="Z55" s="121"/>
      <c r="AA55" s="121"/>
      <c r="AB55" s="121"/>
      <c r="AC55" s="121"/>
      <c r="AD55" s="121"/>
      <c r="AE55" s="188"/>
      <c r="AF55" s="188"/>
      <c r="AG55" s="121"/>
      <c r="AH55" s="121"/>
      <c r="AI55" s="121"/>
      <c r="AK55" s="32"/>
      <c r="AM55" s="5"/>
      <c r="AO55" s="5"/>
      <c r="AP55" s="5"/>
      <c r="AQ55" s="5"/>
      <c r="AR55" s="5"/>
      <c r="CS55" s="5"/>
      <c r="CT55" s="5"/>
      <c r="CU55" s="5"/>
      <c r="CV55" s="5"/>
      <c r="CW55" s="5"/>
      <c r="CX55" s="5"/>
      <c r="CY55" s="5"/>
      <c r="CZ55" s="5"/>
      <c r="DA55" s="5"/>
    </row>
    <row r="56" spans="1:105" ht="15.75" x14ac:dyDescent="0.25">
      <c r="A56" s="132"/>
      <c r="B56" s="135"/>
      <c r="C56" s="111"/>
      <c r="D56" s="111"/>
      <c r="E56" s="136"/>
      <c r="F56" s="43"/>
      <c r="Q56" s="121"/>
      <c r="T56" s="121"/>
      <c r="U56" s="121"/>
      <c r="V56" s="121"/>
      <c r="W56" s="121"/>
      <c r="X56" s="121"/>
      <c r="Z56" s="121"/>
      <c r="AA56" s="121"/>
      <c r="AB56" s="121"/>
      <c r="AC56" s="121"/>
      <c r="AD56" s="121"/>
      <c r="AE56" s="188"/>
      <c r="AF56" s="188"/>
      <c r="AG56" s="121"/>
      <c r="AH56" s="121"/>
      <c r="AI56" s="121"/>
      <c r="AK56" s="32"/>
      <c r="AM56" s="5"/>
      <c r="AO56" s="5"/>
      <c r="AP56" s="5"/>
      <c r="AQ56" s="5"/>
      <c r="A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ht="15.75" x14ac:dyDescent="0.25">
      <c r="A57" s="132"/>
      <c r="B57" s="135"/>
      <c r="C57" s="111"/>
      <c r="D57" s="111"/>
      <c r="E57" s="136"/>
      <c r="F57" s="43"/>
      <c r="Q57" s="121"/>
      <c r="T57" s="121"/>
      <c r="U57" s="121"/>
      <c r="V57" s="121"/>
      <c r="W57" s="121"/>
      <c r="X57" s="121"/>
      <c r="Z57" s="121"/>
      <c r="AA57" s="121"/>
      <c r="AB57" s="121"/>
      <c r="AC57" s="121"/>
      <c r="AD57" s="121"/>
      <c r="AE57" s="188"/>
      <c r="AF57" s="188"/>
      <c r="AG57" s="121"/>
      <c r="AH57" s="121"/>
      <c r="AI57" s="121"/>
      <c r="AK57" s="32"/>
      <c r="AM57" s="5"/>
      <c r="AO57" s="5"/>
      <c r="AP57" s="5"/>
      <c r="AQ57" s="5"/>
      <c r="A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5.75" x14ac:dyDescent="0.25">
      <c r="A58" s="132"/>
      <c r="B58" s="135"/>
      <c r="C58" s="111"/>
      <c r="D58" s="111"/>
      <c r="E58" s="136"/>
      <c r="F58" s="43"/>
      <c r="Q58" s="121"/>
      <c r="T58" s="121"/>
      <c r="U58" s="121"/>
      <c r="V58" s="121"/>
      <c r="W58" s="121"/>
      <c r="X58" s="121"/>
      <c r="Z58" s="121"/>
      <c r="AA58" s="121"/>
      <c r="AB58" s="121"/>
      <c r="AC58" s="121"/>
      <c r="AD58" s="121"/>
      <c r="AE58" s="188"/>
      <c r="AF58" s="188"/>
      <c r="AG58" s="121"/>
      <c r="AH58" s="121"/>
      <c r="AI58" s="121"/>
      <c r="AK58" s="32"/>
      <c r="AM58" s="5"/>
      <c r="AO58" s="5"/>
      <c r="AP58" s="5"/>
      <c r="AQ58" s="5"/>
      <c r="AR58" s="5"/>
      <c r="CS58" s="5"/>
      <c r="CT58" s="5"/>
      <c r="CU58" s="5"/>
      <c r="CV58" s="5"/>
      <c r="CW58" s="5"/>
      <c r="CX58" s="5"/>
      <c r="CY58" s="5"/>
      <c r="CZ58" s="5"/>
      <c r="DA58" s="5"/>
    </row>
    <row r="59" spans="1:105" ht="15.75" x14ac:dyDescent="0.25">
      <c r="A59" s="132"/>
      <c r="B59" s="135"/>
      <c r="C59" s="111"/>
      <c r="D59" s="111"/>
      <c r="E59" s="136"/>
      <c r="F59" s="43"/>
      <c r="Q59" s="121"/>
      <c r="T59" s="121"/>
      <c r="U59" s="121"/>
      <c r="V59" s="121"/>
      <c r="W59" s="121"/>
      <c r="X59" s="121"/>
      <c r="Z59" s="121"/>
      <c r="AA59" s="121"/>
      <c r="AB59" s="121"/>
      <c r="AC59" s="121"/>
      <c r="AD59" s="121"/>
      <c r="AE59" s="188"/>
      <c r="AF59" s="188"/>
      <c r="AG59" s="121"/>
      <c r="AH59" s="121"/>
      <c r="AI59" s="121"/>
      <c r="AK59" s="32"/>
      <c r="AM59" s="5"/>
      <c r="AO59" s="5"/>
      <c r="AP59" s="5"/>
      <c r="AQ59" s="5"/>
      <c r="A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.75" x14ac:dyDescent="0.25">
      <c r="A60" s="132"/>
      <c r="B60" s="135"/>
      <c r="C60" s="111"/>
      <c r="D60" s="111"/>
      <c r="E60" s="136"/>
      <c r="F60" s="43"/>
      <c r="Q60" s="121"/>
      <c r="T60" s="121"/>
      <c r="U60" s="121"/>
      <c r="V60" s="121"/>
      <c r="W60" s="121"/>
      <c r="X60" s="121"/>
      <c r="Z60" s="121"/>
      <c r="AA60" s="121"/>
      <c r="AB60" s="121"/>
      <c r="AC60" s="121"/>
      <c r="AD60" s="121"/>
      <c r="AE60" s="188"/>
      <c r="AF60" s="188"/>
      <c r="AG60" s="121"/>
      <c r="AH60" s="121"/>
      <c r="AI60" s="121"/>
      <c r="AK60" s="32"/>
      <c r="AM60" s="5"/>
      <c r="AO60" s="5"/>
      <c r="AP60" s="5"/>
      <c r="AQ60" s="5"/>
      <c r="A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5.75" x14ac:dyDescent="0.25">
      <c r="A61" s="132"/>
      <c r="B61" s="135"/>
      <c r="C61" s="111"/>
      <c r="D61" s="111"/>
      <c r="E61" s="136"/>
      <c r="F61" s="43"/>
      <c r="Q61" s="121"/>
      <c r="T61" s="121"/>
      <c r="U61" s="121"/>
      <c r="V61" s="121"/>
      <c r="W61" s="121"/>
      <c r="X61" s="121"/>
      <c r="Z61" s="121"/>
      <c r="AA61" s="121"/>
      <c r="AB61" s="121"/>
      <c r="AC61" s="121"/>
      <c r="AD61" s="121"/>
      <c r="AE61" s="188"/>
      <c r="AF61" s="188"/>
      <c r="AG61" s="121"/>
      <c r="AH61" s="121"/>
      <c r="AI61" s="121"/>
      <c r="AK61" s="32"/>
      <c r="AM61" s="5"/>
      <c r="AO61" s="5"/>
      <c r="AP61" s="5"/>
      <c r="AQ61" s="5"/>
      <c r="A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05" x14ac:dyDescent="0.25">
      <c r="A62" s="132"/>
      <c r="B62" s="135"/>
      <c r="C62" s="111"/>
      <c r="D62" s="111"/>
      <c r="E62" s="136"/>
      <c r="F62" s="43"/>
      <c r="Q62" s="121"/>
      <c r="T62" s="121"/>
      <c r="U62" s="121"/>
      <c r="V62" s="121"/>
      <c r="W62" s="121"/>
      <c r="X62" s="121"/>
      <c r="Z62" s="121"/>
      <c r="AA62" s="121"/>
      <c r="AB62" s="121"/>
      <c r="AC62" s="121"/>
      <c r="AD62" s="121"/>
      <c r="AE62" s="143"/>
      <c r="AF62" s="143"/>
      <c r="AG62" s="121"/>
      <c r="AH62" s="121"/>
      <c r="AI62" s="121"/>
      <c r="AK62" s="32"/>
      <c r="AM62" s="5"/>
      <c r="AO62" s="5"/>
      <c r="AP62" s="5"/>
      <c r="AQ62" s="5"/>
      <c r="AR62" s="5"/>
      <c r="BD62" s="104"/>
      <c r="CS62" s="5"/>
      <c r="CT62" s="5"/>
      <c r="CU62" s="5"/>
      <c r="CV62" s="5"/>
      <c r="CW62" s="5"/>
      <c r="CX62" s="5"/>
      <c r="CY62" s="5"/>
      <c r="CZ62" s="5"/>
      <c r="DA62" s="5"/>
    </row>
    <row r="63" spans="1:105" x14ac:dyDescent="0.25">
      <c r="A63" s="132"/>
      <c r="B63" s="135"/>
      <c r="C63" s="111"/>
      <c r="D63" s="111"/>
      <c r="E63" s="136"/>
      <c r="F63" s="43"/>
      <c r="Q63" s="121"/>
      <c r="T63" s="121"/>
      <c r="U63" s="121"/>
      <c r="V63" s="121"/>
      <c r="W63" s="121"/>
      <c r="X63" s="121"/>
      <c r="Z63" s="121"/>
      <c r="AA63" s="121"/>
      <c r="AB63" s="121"/>
      <c r="AC63" s="121"/>
      <c r="AD63" s="121"/>
      <c r="AE63" s="143"/>
      <c r="AF63" s="143"/>
      <c r="AG63" s="121"/>
      <c r="AH63" s="121"/>
      <c r="AI63" s="121"/>
      <c r="AK63" s="32"/>
      <c r="AM63" s="5"/>
      <c r="AO63" s="5"/>
      <c r="AP63" s="5"/>
      <c r="AQ63" s="5"/>
      <c r="AR63" s="5"/>
      <c r="BD63" s="104"/>
      <c r="CS63" s="5"/>
      <c r="CT63" s="5"/>
      <c r="CU63" s="5"/>
      <c r="CV63" s="5"/>
      <c r="CW63" s="5"/>
      <c r="CX63" s="5"/>
      <c r="CY63" s="5"/>
      <c r="CZ63" s="5"/>
      <c r="DA63" s="5"/>
    </row>
    <row r="64" spans="1:105" x14ac:dyDescent="0.25">
      <c r="A64" s="132"/>
      <c r="B64" s="135"/>
      <c r="C64" s="111"/>
      <c r="D64" s="111"/>
      <c r="E64" s="136"/>
      <c r="F64" s="43"/>
      <c r="Q64" s="121"/>
      <c r="T64" s="121"/>
      <c r="U64" s="121"/>
      <c r="V64" s="121"/>
      <c r="W64" s="121"/>
      <c r="X64" s="121"/>
      <c r="Z64" s="121"/>
      <c r="AA64" s="121"/>
      <c r="AB64" s="121"/>
      <c r="AC64" s="121"/>
      <c r="AD64" s="121"/>
      <c r="AE64" s="143"/>
      <c r="AF64" s="143"/>
      <c r="AG64" s="121"/>
      <c r="AH64" s="121"/>
      <c r="AI64" s="121"/>
      <c r="AK64" s="32"/>
      <c r="AM64" s="5"/>
      <c r="AO64" s="5"/>
      <c r="AP64" s="5"/>
      <c r="AQ64" s="5"/>
      <c r="AR64" s="5"/>
      <c r="BD64" s="104"/>
      <c r="CS64" s="5"/>
      <c r="CT64" s="5"/>
      <c r="CU64" s="5"/>
      <c r="CV64" s="5"/>
      <c r="CW64" s="5"/>
      <c r="CX64" s="5"/>
      <c r="CY64" s="5"/>
      <c r="CZ64" s="5"/>
      <c r="DA64" s="5"/>
    </row>
    <row r="65" spans="1:105" x14ac:dyDescent="0.25">
      <c r="A65" s="132"/>
      <c r="B65" s="135"/>
      <c r="C65" s="111"/>
      <c r="D65" s="111"/>
      <c r="E65" s="136"/>
      <c r="F65" s="43"/>
      <c r="Q65" s="121"/>
      <c r="T65" s="121"/>
      <c r="U65" s="121"/>
      <c r="V65" s="121"/>
      <c r="W65" s="121"/>
      <c r="X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K65" s="32"/>
      <c r="AM65" s="5"/>
      <c r="AO65" s="5"/>
      <c r="AP65" s="5"/>
      <c r="AQ65" s="5"/>
      <c r="A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:105" x14ac:dyDescent="0.25">
      <c r="A66" s="132"/>
      <c r="B66" s="135"/>
      <c r="C66" s="111"/>
      <c r="D66" s="111"/>
      <c r="E66" s="136"/>
      <c r="F66" s="43"/>
      <c r="Q66" s="121"/>
      <c r="T66" s="121"/>
      <c r="U66" s="121"/>
      <c r="V66" s="121"/>
      <c r="W66" s="121"/>
      <c r="X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K66" s="32"/>
      <c r="AM66" s="5"/>
      <c r="AO66" s="5"/>
      <c r="AP66" s="5"/>
      <c r="AQ66" s="5"/>
      <c r="A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x14ac:dyDescent="0.25">
      <c r="A67" s="132"/>
      <c r="B67" s="135"/>
      <c r="C67" s="111"/>
      <c r="D67" s="111"/>
      <c r="E67" s="136"/>
      <c r="F67" s="43"/>
      <c r="Q67" s="121"/>
      <c r="T67" s="121"/>
      <c r="U67" s="121"/>
      <c r="V67" s="121"/>
      <c r="W67" s="121"/>
      <c r="X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K67" s="32"/>
      <c r="AM67" s="5"/>
      <c r="AO67" s="5"/>
      <c r="AP67" s="5"/>
      <c r="AQ67" s="5"/>
      <c r="A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x14ac:dyDescent="0.25">
      <c r="A68" s="132"/>
      <c r="B68" s="135"/>
      <c r="C68" s="111"/>
      <c r="D68" s="111"/>
      <c r="E68" s="136"/>
      <c r="F68" s="43"/>
      <c r="Q68" s="121"/>
      <c r="T68" s="121"/>
      <c r="U68" s="121"/>
      <c r="V68" s="121"/>
      <c r="W68" s="121"/>
      <c r="X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K68" s="32"/>
      <c r="AM68" s="5"/>
      <c r="AO68" s="5"/>
      <c r="AP68" s="5"/>
      <c r="AQ68" s="5"/>
      <c r="A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:105" x14ac:dyDescent="0.25">
      <c r="A69" s="132"/>
      <c r="B69" s="135"/>
      <c r="C69" s="111"/>
      <c r="D69" s="111"/>
      <c r="E69" s="136"/>
      <c r="F69" s="43"/>
      <c r="Q69" s="121"/>
      <c r="T69" s="121"/>
      <c r="U69" s="121"/>
      <c r="V69" s="121"/>
      <c r="W69" s="121"/>
      <c r="X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K69" s="32"/>
      <c r="AM69" s="5"/>
      <c r="AO69" s="5"/>
      <c r="AP69" s="5"/>
      <c r="AQ69" s="5"/>
      <c r="AR69" s="5"/>
      <c r="CS69" s="5"/>
      <c r="CT69" s="5"/>
      <c r="CU69" s="5"/>
      <c r="CV69" s="5"/>
      <c r="CW69" s="5"/>
      <c r="CX69" s="5"/>
      <c r="CY69" s="5"/>
      <c r="CZ69" s="5"/>
      <c r="DA69" s="5"/>
    </row>
    <row r="70" spans="1:105" x14ac:dyDescent="0.25">
      <c r="A70" s="132"/>
      <c r="B70" s="135"/>
      <c r="C70" s="111"/>
      <c r="D70" s="111"/>
      <c r="E70" s="136"/>
      <c r="F70" s="43"/>
      <c r="Q70" s="121"/>
      <c r="T70" s="121"/>
      <c r="U70" s="121"/>
      <c r="V70" s="121"/>
      <c r="W70" s="121"/>
      <c r="X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K70" s="32"/>
      <c r="AM70" s="5"/>
      <c r="AO70" s="5"/>
      <c r="AP70" s="5"/>
      <c r="AQ70" s="5"/>
      <c r="AR70" s="5"/>
      <c r="CS70" s="5"/>
      <c r="CT70" s="5"/>
      <c r="CU70" s="5"/>
      <c r="CV70" s="5"/>
      <c r="CW70" s="5"/>
      <c r="CX70" s="5"/>
      <c r="CY70" s="5"/>
      <c r="CZ70" s="5"/>
      <c r="DA70" s="5"/>
    </row>
    <row r="71" spans="1:105" x14ac:dyDescent="0.25">
      <c r="A71" s="132"/>
      <c r="B71" s="135"/>
      <c r="C71" s="111"/>
      <c r="D71" s="111"/>
      <c r="E71" s="136"/>
      <c r="F71" s="43"/>
      <c r="Q71" s="121"/>
      <c r="T71" s="121"/>
      <c r="U71" s="121"/>
      <c r="V71" s="121"/>
      <c r="W71" s="121"/>
      <c r="X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K71" s="32"/>
      <c r="AM71" s="5"/>
      <c r="AO71" s="5"/>
      <c r="AP71" s="5"/>
      <c r="AQ71" s="5"/>
      <c r="AR71" s="5"/>
      <c r="CS71" s="5"/>
      <c r="CT71" s="5"/>
      <c r="CU71" s="5"/>
      <c r="CV71" s="5"/>
      <c r="CW71" s="5"/>
      <c r="CX71" s="5"/>
      <c r="CY71" s="5"/>
      <c r="CZ71" s="5"/>
      <c r="DA71" s="5"/>
    </row>
    <row r="72" spans="1:105" x14ac:dyDescent="0.25">
      <c r="A72" s="132"/>
      <c r="B72" s="135"/>
      <c r="C72" s="111"/>
      <c r="D72" s="111"/>
      <c r="E72" s="136"/>
      <c r="F72" s="43"/>
      <c r="Q72" s="121"/>
      <c r="T72" s="121"/>
      <c r="U72" s="121"/>
      <c r="V72" s="121"/>
      <c r="W72" s="121"/>
      <c r="X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K72" s="32"/>
      <c r="AM72" s="5"/>
      <c r="AO72" s="5"/>
      <c r="AP72" s="5"/>
      <c r="AQ72" s="5"/>
      <c r="AR72" s="5"/>
      <c r="CS72" s="5"/>
      <c r="CT72" s="5"/>
      <c r="CU72" s="5"/>
      <c r="CV72" s="5"/>
      <c r="CW72" s="5"/>
      <c r="CX72" s="5"/>
      <c r="CY72" s="5"/>
      <c r="CZ72" s="5"/>
      <c r="DA72" s="5"/>
    </row>
    <row r="73" spans="1:105" x14ac:dyDescent="0.25">
      <c r="A73" s="132"/>
      <c r="B73" s="135"/>
      <c r="C73" s="111"/>
      <c r="D73" s="111"/>
      <c r="E73" s="136"/>
      <c r="F73" s="43"/>
      <c r="Q73" s="121"/>
      <c r="T73" s="121"/>
      <c r="U73" s="121"/>
      <c r="V73" s="121"/>
      <c r="W73" s="121"/>
      <c r="X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K73" s="32"/>
      <c r="AM73" s="5"/>
      <c r="AO73" s="5"/>
      <c r="AP73" s="5"/>
      <c r="AQ73" s="5"/>
      <c r="AR73" s="5"/>
      <c r="CS73" s="5"/>
      <c r="CT73" s="5"/>
      <c r="CU73" s="5"/>
      <c r="CV73" s="5"/>
      <c r="CW73" s="5"/>
      <c r="CX73" s="5"/>
      <c r="CY73" s="5"/>
      <c r="CZ73" s="5"/>
      <c r="DA73" s="5"/>
    </row>
    <row r="74" spans="1:105" x14ac:dyDescent="0.25">
      <c r="A74" s="132"/>
      <c r="B74" s="135"/>
      <c r="C74" s="111"/>
      <c r="D74" s="111"/>
      <c r="E74" s="136"/>
      <c r="F74" s="43"/>
      <c r="Q74" s="121"/>
      <c r="T74" s="121"/>
      <c r="U74" s="121"/>
      <c r="V74" s="121"/>
      <c r="W74" s="121"/>
      <c r="X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K74" s="32"/>
      <c r="AM74" s="5"/>
      <c r="AO74" s="5"/>
      <c r="AP74" s="5"/>
      <c r="AQ74" s="5"/>
      <c r="AR74" s="5"/>
      <c r="CS74" s="5"/>
      <c r="CT74" s="5"/>
      <c r="CU74" s="5"/>
      <c r="CV74" s="5"/>
      <c r="CW74" s="5"/>
      <c r="CX74" s="5"/>
      <c r="CY74" s="5"/>
      <c r="CZ74" s="5"/>
      <c r="DA74" s="5"/>
    </row>
    <row r="75" spans="1:105" x14ac:dyDescent="0.25">
      <c r="A75" s="132"/>
      <c r="B75" s="135"/>
      <c r="C75" s="111"/>
      <c r="D75" s="111"/>
      <c r="E75" s="136"/>
      <c r="F75" s="43"/>
      <c r="Q75" s="121"/>
      <c r="T75" s="121"/>
      <c r="U75" s="121"/>
      <c r="V75" s="121"/>
      <c r="W75" s="121"/>
      <c r="X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K75" s="32"/>
      <c r="AM75" s="5"/>
      <c r="AO75" s="5"/>
      <c r="AP75" s="5"/>
      <c r="AQ75" s="5"/>
      <c r="A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1:105" x14ac:dyDescent="0.25">
      <c r="A76" s="132"/>
      <c r="B76" s="135"/>
      <c r="C76" s="111"/>
      <c r="D76" s="111"/>
      <c r="E76" s="136"/>
      <c r="F76" s="43"/>
      <c r="Q76" s="121"/>
      <c r="T76" s="121"/>
      <c r="U76" s="121"/>
      <c r="V76" s="121"/>
      <c r="W76" s="121"/>
      <c r="X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K76" s="32"/>
      <c r="AM76" s="5"/>
      <c r="AO76" s="5"/>
      <c r="AP76" s="5"/>
      <c r="AQ76" s="5"/>
      <c r="A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1:105" x14ac:dyDescent="0.25">
      <c r="A77" s="132"/>
      <c r="B77" s="135"/>
      <c r="C77" s="111"/>
      <c r="D77" s="111"/>
      <c r="E77" s="136"/>
      <c r="F77" s="43"/>
      <c r="Q77" s="121"/>
      <c r="T77" s="121"/>
      <c r="U77" s="121"/>
      <c r="V77" s="121"/>
      <c r="W77" s="121"/>
      <c r="X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K77" s="32"/>
      <c r="AM77" s="5"/>
      <c r="AO77" s="5"/>
      <c r="AP77" s="5"/>
      <c r="AQ77" s="5"/>
      <c r="A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1:105" x14ac:dyDescent="0.25">
      <c r="A78" s="132"/>
      <c r="B78" s="135"/>
      <c r="C78" s="111"/>
      <c r="D78" s="111"/>
      <c r="E78" s="136"/>
      <c r="F78" s="43"/>
      <c r="Q78" s="121"/>
      <c r="T78" s="121"/>
      <c r="U78" s="121"/>
      <c r="V78" s="121"/>
      <c r="W78" s="121"/>
      <c r="X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K78" s="32"/>
      <c r="AM78" s="5"/>
      <c r="AO78" s="5"/>
      <c r="AP78" s="5"/>
      <c r="AQ78" s="5"/>
      <c r="A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1:105" x14ac:dyDescent="0.25">
      <c r="A79" s="132"/>
      <c r="B79" s="135"/>
      <c r="C79" s="111"/>
      <c r="D79" s="111"/>
      <c r="E79" s="136"/>
      <c r="F79" s="43"/>
      <c r="Q79" s="121"/>
      <c r="T79" s="121"/>
      <c r="U79" s="121"/>
      <c r="V79" s="121"/>
      <c r="W79" s="121"/>
      <c r="X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K79" s="32"/>
      <c r="AM79" s="5"/>
      <c r="AO79" s="5"/>
      <c r="AP79" s="5"/>
      <c r="AQ79" s="5"/>
      <c r="A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1:105" x14ac:dyDescent="0.25">
      <c r="A80" s="132"/>
      <c r="B80" s="135"/>
      <c r="C80" s="111"/>
      <c r="D80" s="111"/>
      <c r="E80" s="136"/>
      <c r="F80" s="43"/>
      <c r="Q80" s="121"/>
      <c r="T80" s="121"/>
      <c r="U80" s="121"/>
      <c r="V80" s="121"/>
      <c r="W80" s="121"/>
      <c r="X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K80" s="32"/>
      <c r="AM80" s="5"/>
      <c r="AO80" s="5"/>
      <c r="AP80" s="5"/>
      <c r="AQ80" s="5"/>
      <c r="A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1:105" x14ac:dyDescent="0.25">
      <c r="A81" s="132"/>
      <c r="B81" s="135"/>
      <c r="C81" s="111"/>
      <c r="D81" s="111"/>
      <c r="E81" s="136"/>
      <c r="F81" s="43"/>
      <c r="Q81" s="121"/>
      <c r="T81" s="121"/>
      <c r="U81" s="121"/>
      <c r="V81" s="121"/>
      <c r="W81" s="121"/>
      <c r="X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K81" s="32"/>
      <c r="AM81" s="5"/>
      <c r="AO81" s="5"/>
      <c r="AP81" s="5"/>
      <c r="AQ81" s="5"/>
      <c r="A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:105" x14ac:dyDescent="0.25">
      <c r="A82" s="132"/>
      <c r="B82" s="135"/>
      <c r="C82" s="111"/>
      <c r="D82" s="111"/>
      <c r="E82" s="136"/>
      <c r="F82" s="43"/>
      <c r="Q82" s="121"/>
      <c r="T82" s="121"/>
      <c r="U82" s="121"/>
      <c r="V82" s="121"/>
      <c r="W82" s="121"/>
      <c r="X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K82" s="32"/>
      <c r="AM82" s="5"/>
      <c r="AO82" s="5"/>
      <c r="AP82" s="5"/>
      <c r="AQ82" s="5"/>
      <c r="A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:105" x14ac:dyDescent="0.25">
      <c r="A83" s="132"/>
      <c r="B83" s="135"/>
      <c r="C83" s="111"/>
      <c r="D83" s="111"/>
      <c r="E83" s="136"/>
      <c r="F83" s="43"/>
      <c r="Q83" s="121"/>
      <c r="T83" s="121"/>
      <c r="U83" s="121"/>
      <c r="V83" s="121"/>
      <c r="W83" s="121"/>
      <c r="X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K83" s="32"/>
      <c r="AM83" s="5"/>
      <c r="AO83" s="5"/>
      <c r="AP83" s="5"/>
      <c r="AQ83" s="5"/>
      <c r="A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x14ac:dyDescent="0.25">
      <c r="A84" s="132"/>
      <c r="B84" s="135"/>
      <c r="C84" s="111"/>
      <c r="D84" s="111"/>
      <c r="E84" s="136"/>
      <c r="F84" s="43"/>
      <c r="Q84" s="121"/>
      <c r="T84" s="121"/>
      <c r="U84" s="121"/>
      <c r="V84" s="121"/>
      <c r="W84" s="121"/>
      <c r="X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K84" s="32"/>
      <c r="AM84" s="5"/>
      <c r="AO84" s="5"/>
      <c r="AP84" s="5"/>
      <c r="AQ84" s="5"/>
      <c r="AR84" s="5"/>
      <c r="CS84" s="5"/>
      <c r="CT84" s="5"/>
      <c r="CU84" s="5"/>
      <c r="CV84" s="5"/>
      <c r="CW84" s="5"/>
      <c r="CX84" s="5"/>
      <c r="CY84" s="5"/>
      <c r="CZ84" s="5"/>
      <c r="DA84" s="5"/>
    </row>
    <row r="85" spans="1:105" x14ac:dyDescent="0.25">
      <c r="A85" s="132"/>
      <c r="B85" s="135"/>
      <c r="C85" s="111"/>
      <c r="D85" s="111"/>
      <c r="E85" s="136"/>
      <c r="F85" s="43"/>
      <c r="Q85" s="121"/>
      <c r="T85" s="121"/>
      <c r="U85" s="121"/>
      <c r="V85" s="121"/>
      <c r="W85" s="121"/>
      <c r="X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K85" s="32"/>
      <c r="AM85" s="5"/>
      <c r="AO85" s="5"/>
      <c r="AP85" s="5"/>
      <c r="AQ85" s="5"/>
      <c r="A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x14ac:dyDescent="0.25">
      <c r="A86" s="132"/>
      <c r="B86" s="135"/>
      <c r="C86" s="111"/>
      <c r="D86" s="111"/>
      <c r="E86" s="136"/>
      <c r="F86" s="43"/>
      <c r="Q86" s="121"/>
      <c r="T86" s="121"/>
      <c r="U86" s="121"/>
      <c r="V86" s="121"/>
      <c r="W86" s="121"/>
      <c r="X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K86" s="32"/>
      <c r="AM86" s="5"/>
      <c r="AO86" s="5"/>
      <c r="AP86" s="5"/>
      <c r="AQ86" s="5"/>
      <c r="AR86" s="5"/>
      <c r="CS86" s="5"/>
      <c r="CT86" s="5"/>
      <c r="CU86" s="5"/>
      <c r="CV86" s="5"/>
      <c r="CW86" s="5"/>
      <c r="CX86" s="5"/>
      <c r="CY86" s="5"/>
      <c r="CZ86" s="5"/>
      <c r="DA86" s="5"/>
    </row>
    <row r="87" spans="1:105" x14ac:dyDescent="0.25">
      <c r="A87" s="132"/>
      <c r="B87" s="135"/>
      <c r="C87" s="111"/>
      <c r="D87" s="111"/>
      <c r="E87" s="136"/>
      <c r="F87" s="43"/>
      <c r="Q87" s="121"/>
      <c r="T87" s="121"/>
      <c r="U87" s="121"/>
      <c r="V87" s="121"/>
      <c r="W87" s="121"/>
      <c r="X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K87" s="32"/>
      <c r="AM87" s="5"/>
      <c r="AO87" s="5"/>
      <c r="AP87" s="5"/>
      <c r="AQ87" s="5"/>
      <c r="A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 x14ac:dyDescent="0.25">
      <c r="A88" s="132"/>
      <c r="B88" s="135"/>
      <c r="C88" s="111"/>
      <c r="D88" s="111"/>
      <c r="E88" s="136"/>
      <c r="F88" s="43"/>
      <c r="Q88" s="121"/>
      <c r="T88" s="121"/>
      <c r="U88" s="121"/>
      <c r="V88" s="121"/>
      <c r="W88" s="121"/>
      <c r="X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K88" s="32"/>
      <c r="AM88" s="5"/>
      <c r="AO88" s="5"/>
      <c r="AP88" s="5"/>
      <c r="AQ88" s="5"/>
      <c r="A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x14ac:dyDescent="0.25">
      <c r="A89" s="132"/>
      <c r="B89" s="135"/>
      <c r="C89" s="111"/>
      <c r="D89" s="111"/>
      <c r="E89" s="136"/>
      <c r="F89" s="43"/>
      <c r="Q89" s="121"/>
      <c r="T89" s="121"/>
      <c r="U89" s="121"/>
      <c r="V89" s="121"/>
      <c r="W89" s="121"/>
      <c r="X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K89" s="32"/>
      <c r="AM89" s="5"/>
      <c r="AO89" s="5"/>
      <c r="AP89" s="5"/>
      <c r="AQ89" s="5"/>
      <c r="AR89" s="5"/>
      <c r="CS89" s="5"/>
      <c r="CT89" s="5"/>
      <c r="CU89" s="5"/>
      <c r="CV89" s="5"/>
      <c r="CW89" s="5"/>
      <c r="CX89" s="5"/>
      <c r="CY89" s="5"/>
      <c r="CZ89" s="5"/>
      <c r="DA89" s="5"/>
    </row>
    <row r="90" spans="1:105" x14ac:dyDescent="0.25">
      <c r="A90" s="132"/>
      <c r="B90" s="135"/>
      <c r="C90" s="111"/>
      <c r="D90" s="111"/>
      <c r="E90" s="136"/>
      <c r="F90" s="43"/>
      <c r="Q90" s="121"/>
      <c r="T90" s="121"/>
      <c r="U90" s="121"/>
      <c r="V90" s="121"/>
      <c r="W90" s="121"/>
      <c r="X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K90" s="32"/>
      <c r="AM90" s="5"/>
      <c r="AO90" s="5"/>
      <c r="AP90" s="5"/>
      <c r="AQ90" s="5"/>
      <c r="AR90" s="5"/>
      <c r="CS90" s="5"/>
      <c r="CT90" s="5"/>
      <c r="CU90" s="5"/>
      <c r="CV90" s="5"/>
      <c r="CW90" s="5"/>
      <c r="CX90" s="5"/>
      <c r="CY90" s="5"/>
      <c r="CZ90" s="5"/>
      <c r="DA90" s="5"/>
    </row>
    <row r="91" spans="1:105" x14ac:dyDescent="0.25">
      <c r="A91" s="132"/>
      <c r="B91" s="135"/>
      <c r="C91" s="111"/>
      <c r="D91" s="111"/>
      <c r="E91" s="136"/>
      <c r="F91" s="43"/>
      <c r="Q91" s="121"/>
      <c r="T91" s="121"/>
      <c r="U91" s="121"/>
      <c r="V91" s="121"/>
      <c r="W91" s="121"/>
      <c r="X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K91" s="32"/>
      <c r="AM91" s="5"/>
      <c r="AO91" s="5"/>
      <c r="AP91" s="5"/>
      <c r="AQ91" s="5"/>
      <c r="AR91" s="5"/>
      <c r="CS91" s="5"/>
      <c r="CT91" s="5"/>
      <c r="CU91" s="5"/>
      <c r="CV91" s="5"/>
      <c r="CW91" s="5"/>
      <c r="CX91" s="5"/>
      <c r="CY91" s="5"/>
      <c r="CZ91" s="5"/>
      <c r="DA91" s="5"/>
    </row>
    <row r="92" spans="1:105" x14ac:dyDescent="0.25">
      <c r="A92" s="132"/>
      <c r="B92" s="135"/>
      <c r="C92" s="111"/>
      <c r="D92" s="111"/>
      <c r="E92" s="136"/>
      <c r="F92" s="43"/>
      <c r="Q92" s="121"/>
      <c r="T92" s="121"/>
      <c r="U92" s="121"/>
      <c r="V92" s="121"/>
      <c r="W92" s="121"/>
      <c r="X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K92" s="32"/>
      <c r="AM92" s="5"/>
      <c r="AO92" s="5"/>
      <c r="AP92" s="5"/>
      <c r="AQ92" s="5"/>
      <c r="AR92" s="5"/>
      <c r="CS92" s="5"/>
      <c r="CT92" s="5"/>
      <c r="CU92" s="5"/>
      <c r="CV92" s="5"/>
      <c r="CW92" s="5"/>
      <c r="CX92" s="5"/>
      <c r="CY92" s="5"/>
      <c r="CZ92" s="5"/>
      <c r="DA92" s="5"/>
    </row>
    <row r="93" spans="1:105" x14ac:dyDescent="0.25">
      <c r="A93" s="132"/>
      <c r="B93" s="135"/>
      <c r="C93" s="111"/>
      <c r="D93" s="111"/>
      <c r="E93" s="136"/>
      <c r="F93" s="43"/>
      <c r="Q93" s="121"/>
      <c r="T93" s="121"/>
      <c r="U93" s="121"/>
      <c r="V93" s="121"/>
      <c r="W93" s="121"/>
      <c r="X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K93" s="32"/>
      <c r="AM93" s="5"/>
      <c r="AO93" s="5"/>
      <c r="AP93" s="5"/>
      <c r="AQ93" s="5"/>
      <c r="A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x14ac:dyDescent="0.25">
      <c r="A94" s="132"/>
      <c r="B94" s="135"/>
      <c r="C94" s="111"/>
      <c r="D94" s="111"/>
      <c r="E94" s="136"/>
      <c r="F94" s="43"/>
      <c r="Q94" s="121"/>
      <c r="T94" s="121"/>
      <c r="U94" s="121"/>
      <c r="V94" s="121"/>
      <c r="W94" s="121"/>
      <c r="X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K94" s="32"/>
      <c r="AM94" s="5"/>
      <c r="AO94" s="5"/>
      <c r="AP94" s="5"/>
      <c r="AQ94" s="5"/>
      <c r="AR94" s="5"/>
      <c r="CS94" s="5"/>
      <c r="CT94" s="5"/>
      <c r="CU94" s="5"/>
      <c r="CV94" s="5"/>
      <c r="CW94" s="5"/>
      <c r="CX94" s="5"/>
      <c r="CY94" s="5"/>
      <c r="CZ94" s="5"/>
      <c r="DA94" s="5"/>
    </row>
    <row r="95" spans="1:105" x14ac:dyDescent="0.25">
      <c r="A95" s="132"/>
      <c r="B95" s="135"/>
      <c r="C95" s="111"/>
      <c r="D95" s="111"/>
      <c r="E95" s="136"/>
      <c r="F95" s="43"/>
      <c r="Q95" s="121"/>
      <c r="T95" s="121"/>
      <c r="U95" s="121"/>
      <c r="V95" s="121"/>
      <c r="W95" s="121"/>
      <c r="X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K95" s="32"/>
      <c r="AM95" s="5"/>
      <c r="AO95" s="5"/>
      <c r="AP95" s="5"/>
      <c r="AQ95" s="5"/>
      <c r="AR95" s="5"/>
      <c r="CS95" s="5"/>
      <c r="CT95" s="5"/>
      <c r="CU95" s="5"/>
      <c r="CV95" s="5"/>
      <c r="CW95" s="5"/>
      <c r="CX95" s="5"/>
      <c r="CY95" s="5"/>
      <c r="CZ95" s="5"/>
      <c r="DA95" s="5"/>
    </row>
    <row r="96" spans="1:105" x14ac:dyDescent="0.25">
      <c r="A96" s="132"/>
      <c r="B96" s="135"/>
      <c r="C96" s="111"/>
      <c r="D96" s="111"/>
      <c r="E96" s="136"/>
      <c r="F96" s="43"/>
      <c r="Q96" s="121"/>
      <c r="T96" s="121"/>
      <c r="U96" s="121"/>
      <c r="V96" s="121"/>
      <c r="W96" s="121"/>
      <c r="X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K96" s="32"/>
      <c r="AM96" s="5"/>
      <c r="AO96" s="5"/>
      <c r="AP96" s="5"/>
      <c r="AQ96" s="5"/>
      <c r="AR96" s="5"/>
      <c r="CS96" s="5"/>
      <c r="CT96" s="5"/>
      <c r="CU96" s="5"/>
      <c r="CV96" s="5"/>
      <c r="CW96" s="5"/>
      <c r="CX96" s="5"/>
      <c r="CY96" s="5"/>
      <c r="CZ96" s="5"/>
      <c r="DA96" s="5"/>
    </row>
    <row r="97" spans="1:105" x14ac:dyDescent="0.25">
      <c r="A97" s="132"/>
      <c r="B97" s="135"/>
      <c r="C97" s="111"/>
      <c r="D97" s="111"/>
      <c r="E97" s="136"/>
      <c r="F97" s="43"/>
      <c r="Q97" s="121"/>
      <c r="T97" s="121"/>
      <c r="U97" s="121"/>
      <c r="V97" s="121"/>
      <c r="W97" s="121"/>
      <c r="X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K97" s="32"/>
      <c r="AM97" s="5"/>
      <c r="AO97" s="5"/>
      <c r="AP97" s="5"/>
      <c r="AQ97" s="5"/>
      <c r="AR97" s="5"/>
      <c r="CS97" s="5"/>
      <c r="CT97" s="5"/>
      <c r="CU97" s="5"/>
      <c r="CV97" s="5"/>
      <c r="CW97" s="5"/>
      <c r="CX97" s="5"/>
      <c r="CY97" s="5"/>
      <c r="CZ97" s="5"/>
      <c r="DA97" s="5"/>
    </row>
    <row r="98" spans="1:105" x14ac:dyDescent="0.25">
      <c r="A98" s="132"/>
      <c r="B98" s="135"/>
      <c r="C98" s="111"/>
      <c r="D98" s="111"/>
      <c r="E98" s="136"/>
      <c r="F98" s="43"/>
      <c r="Q98" s="121"/>
      <c r="T98" s="121"/>
      <c r="U98" s="121"/>
      <c r="V98" s="121"/>
      <c r="W98" s="121"/>
      <c r="X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K98" s="32"/>
      <c r="AM98" s="5"/>
      <c r="AO98" s="5"/>
      <c r="AP98" s="5"/>
      <c r="AQ98" s="5"/>
      <c r="AR98" s="5"/>
      <c r="CS98" s="5"/>
      <c r="CT98" s="5"/>
      <c r="CU98" s="5"/>
      <c r="CV98" s="5"/>
      <c r="CW98" s="5"/>
      <c r="CX98" s="5"/>
      <c r="CY98" s="5"/>
      <c r="CZ98" s="5"/>
      <c r="DA98" s="5"/>
    </row>
    <row r="99" spans="1:105" x14ac:dyDescent="0.25">
      <c r="A99" s="132"/>
      <c r="B99" s="135"/>
      <c r="C99" s="111"/>
      <c r="D99" s="111"/>
      <c r="E99" s="136"/>
      <c r="F99" s="43"/>
      <c r="Q99" s="121"/>
      <c r="T99" s="121"/>
      <c r="U99" s="121"/>
      <c r="V99" s="121"/>
      <c r="W99" s="121"/>
      <c r="X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K99" s="32"/>
      <c r="AM99" s="5"/>
      <c r="AO99" s="5"/>
      <c r="AP99" s="5"/>
      <c r="AQ99" s="5"/>
      <c r="AR99" s="5"/>
      <c r="CS99" s="5"/>
      <c r="CT99" s="5"/>
      <c r="CU99" s="5"/>
      <c r="CV99" s="5"/>
      <c r="CW99" s="5"/>
      <c r="CX99" s="5"/>
      <c r="CY99" s="5"/>
      <c r="CZ99" s="5"/>
      <c r="DA99" s="5"/>
    </row>
    <row r="100" spans="1:105" x14ac:dyDescent="0.25">
      <c r="A100" s="132"/>
      <c r="B100" s="135"/>
      <c r="C100" s="111"/>
      <c r="D100" s="111"/>
      <c r="E100" s="136"/>
      <c r="F100" s="43"/>
      <c r="Q100" s="121"/>
      <c r="T100" s="121"/>
      <c r="U100" s="121"/>
      <c r="V100" s="121"/>
      <c r="W100" s="121"/>
      <c r="X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K100" s="32"/>
      <c r="AM100" s="5"/>
      <c r="AO100" s="5"/>
      <c r="AP100" s="5"/>
      <c r="AQ100" s="5"/>
      <c r="AR100" s="5"/>
      <c r="CS100" s="5"/>
      <c r="CT100" s="5"/>
      <c r="CU100" s="5"/>
      <c r="CV100" s="5"/>
      <c r="CW100" s="5"/>
      <c r="CX100" s="5"/>
      <c r="CY100" s="5"/>
      <c r="CZ100" s="5"/>
      <c r="DA100" s="5"/>
    </row>
    <row r="101" spans="1:105" x14ac:dyDescent="0.25">
      <c r="A101" s="132"/>
      <c r="B101" s="135"/>
      <c r="C101" s="111"/>
      <c r="D101" s="111"/>
      <c r="E101" s="136"/>
      <c r="F101" s="43"/>
      <c r="Q101" s="121"/>
      <c r="T101" s="121"/>
      <c r="U101" s="121"/>
      <c r="V101" s="121"/>
      <c r="W101" s="121"/>
      <c r="X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K101" s="32"/>
      <c r="AM101" s="5"/>
      <c r="AO101" s="5"/>
      <c r="AP101" s="5"/>
      <c r="AQ101" s="5"/>
      <c r="AR101" s="5"/>
      <c r="CS101" s="5"/>
      <c r="CT101" s="5"/>
      <c r="CU101" s="5"/>
      <c r="CV101" s="5"/>
      <c r="CW101" s="5"/>
      <c r="CX101" s="5"/>
      <c r="CY101" s="5"/>
      <c r="CZ101" s="5"/>
      <c r="DA101" s="5"/>
    </row>
    <row r="102" spans="1:105" x14ac:dyDescent="0.25">
      <c r="A102" s="132"/>
      <c r="B102" s="135"/>
      <c r="C102" s="111"/>
      <c r="D102" s="111"/>
      <c r="E102" s="136"/>
      <c r="F102" s="43"/>
      <c r="Q102" s="121"/>
      <c r="T102" s="121"/>
      <c r="U102" s="121"/>
      <c r="V102" s="121"/>
      <c r="W102" s="121"/>
      <c r="X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K102" s="32"/>
      <c r="AM102" s="5"/>
      <c r="AO102" s="5"/>
      <c r="AP102" s="5"/>
      <c r="AQ102" s="5"/>
      <c r="A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:105" x14ac:dyDescent="0.25">
      <c r="A103" s="132"/>
      <c r="B103" s="135"/>
      <c r="C103" s="111"/>
      <c r="D103" s="111"/>
      <c r="E103" s="136"/>
      <c r="F103" s="43"/>
      <c r="Q103" s="121"/>
      <c r="T103" s="121"/>
      <c r="U103" s="121"/>
      <c r="V103" s="121"/>
      <c r="W103" s="121"/>
      <c r="X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K103" s="32"/>
      <c r="AM103" s="5"/>
      <c r="AO103" s="5"/>
      <c r="AP103" s="5"/>
      <c r="AQ103" s="5"/>
      <c r="A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:105" x14ac:dyDescent="0.25">
      <c r="A104" s="132"/>
      <c r="B104" s="135"/>
      <c r="C104" s="111"/>
      <c r="D104" s="111"/>
      <c r="E104" s="136"/>
      <c r="F104" s="43"/>
      <c r="Q104" s="121"/>
      <c r="T104" s="121"/>
      <c r="U104" s="121"/>
      <c r="V104" s="121"/>
      <c r="W104" s="121"/>
      <c r="X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K104" s="32"/>
      <c r="AM104" s="5"/>
      <c r="AO104" s="5"/>
      <c r="AP104" s="5"/>
      <c r="AQ104" s="5"/>
      <c r="A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:105" x14ac:dyDescent="0.25">
      <c r="A105" s="132"/>
      <c r="B105" s="135"/>
      <c r="C105" s="111"/>
      <c r="D105" s="111"/>
      <c r="E105" s="136"/>
      <c r="F105" s="43"/>
      <c r="Q105" s="121"/>
      <c r="T105" s="121"/>
      <c r="U105" s="121"/>
      <c r="V105" s="121"/>
      <c r="W105" s="121"/>
      <c r="X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K105" s="32"/>
      <c r="AM105" s="5"/>
      <c r="AO105" s="5"/>
      <c r="AP105" s="5"/>
      <c r="AQ105" s="5"/>
      <c r="A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:105" x14ac:dyDescent="0.25">
      <c r="A106" s="132"/>
      <c r="B106" s="135"/>
      <c r="C106" s="111"/>
      <c r="D106" s="111"/>
      <c r="E106" s="136"/>
      <c r="F106" s="43"/>
      <c r="Q106" s="121"/>
      <c r="T106" s="121"/>
      <c r="U106" s="121"/>
      <c r="V106" s="121"/>
      <c r="W106" s="121"/>
      <c r="X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K106" s="32"/>
      <c r="AM106" s="5"/>
      <c r="AO106" s="5"/>
      <c r="AP106" s="5"/>
      <c r="AQ106" s="5"/>
      <c r="A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05" x14ac:dyDescent="0.25">
      <c r="A107" s="132"/>
      <c r="B107" s="135"/>
      <c r="C107" s="111"/>
      <c r="D107" s="111"/>
      <c r="E107" s="136"/>
      <c r="F107" s="43"/>
      <c r="Q107" s="121"/>
      <c r="T107" s="121"/>
      <c r="U107" s="121"/>
      <c r="V107" s="121"/>
      <c r="W107" s="121"/>
      <c r="X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K107" s="32"/>
      <c r="AM107" s="5"/>
      <c r="AO107" s="5"/>
      <c r="AP107" s="5"/>
      <c r="AQ107" s="5"/>
      <c r="A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05" x14ac:dyDescent="0.25">
      <c r="A108" s="132"/>
      <c r="B108" s="135"/>
      <c r="C108" s="111"/>
      <c r="D108" s="111"/>
      <c r="E108" s="136"/>
      <c r="F108" s="43"/>
      <c r="Q108" s="121"/>
      <c r="T108" s="121"/>
      <c r="U108" s="121"/>
      <c r="V108" s="121"/>
      <c r="W108" s="121"/>
      <c r="X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K108" s="32"/>
      <c r="AM108" s="5"/>
      <c r="AO108" s="5"/>
      <c r="AP108" s="5"/>
      <c r="AQ108" s="5"/>
      <c r="A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:105" x14ac:dyDescent="0.25">
      <c r="A109" s="132"/>
      <c r="B109" s="135"/>
      <c r="C109" s="111"/>
      <c r="D109" s="111"/>
      <c r="E109" s="136"/>
      <c r="F109" s="43"/>
      <c r="Q109" s="121"/>
      <c r="T109" s="121"/>
      <c r="U109" s="121"/>
      <c r="V109" s="121"/>
      <c r="W109" s="121"/>
      <c r="X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K109" s="32"/>
      <c r="AM109" s="5"/>
      <c r="AO109" s="5"/>
      <c r="AP109" s="5"/>
      <c r="AQ109" s="5"/>
      <c r="A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:105" x14ac:dyDescent="0.25">
      <c r="A110" s="132"/>
      <c r="B110" s="135"/>
      <c r="C110" s="111"/>
      <c r="D110" s="111"/>
      <c r="E110" s="136"/>
      <c r="F110" s="43"/>
      <c r="Q110" s="121"/>
      <c r="T110" s="121"/>
      <c r="U110" s="121"/>
      <c r="V110" s="121"/>
      <c r="W110" s="121"/>
      <c r="X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K110" s="32"/>
      <c r="AM110" s="5"/>
      <c r="AO110" s="5"/>
      <c r="AP110" s="5"/>
      <c r="AQ110" s="5"/>
      <c r="A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:105" x14ac:dyDescent="0.25">
      <c r="A111" s="132"/>
      <c r="B111" s="135"/>
      <c r="C111" s="111"/>
      <c r="D111" s="111"/>
      <c r="E111" s="136"/>
      <c r="F111" s="43"/>
      <c r="Q111" s="121"/>
      <c r="T111" s="121"/>
      <c r="U111" s="121"/>
      <c r="V111" s="121"/>
      <c r="W111" s="121"/>
      <c r="X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K111" s="32"/>
      <c r="AM111" s="5"/>
      <c r="AO111" s="5"/>
      <c r="AP111" s="5"/>
      <c r="AQ111" s="5"/>
      <c r="A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:105" x14ac:dyDescent="0.25">
      <c r="A112" s="132"/>
      <c r="B112" s="135"/>
      <c r="C112" s="111"/>
      <c r="D112" s="111"/>
      <c r="E112" s="136"/>
      <c r="F112" s="43"/>
      <c r="Q112" s="121"/>
      <c r="T112" s="121"/>
      <c r="U112" s="121"/>
      <c r="V112" s="121"/>
      <c r="W112" s="121"/>
      <c r="X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K112" s="32"/>
      <c r="AM112" s="5"/>
      <c r="AO112" s="5"/>
      <c r="AP112" s="5"/>
      <c r="AQ112" s="5"/>
      <c r="A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1:105" x14ac:dyDescent="0.25">
      <c r="A113" s="132"/>
      <c r="B113" s="135"/>
      <c r="C113" s="111"/>
      <c r="D113" s="111"/>
      <c r="E113" s="136"/>
      <c r="F113" s="43"/>
      <c r="Q113" s="121"/>
      <c r="T113" s="121"/>
      <c r="U113" s="121"/>
      <c r="V113" s="121"/>
      <c r="W113" s="121"/>
      <c r="X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K113" s="32"/>
      <c r="AM113" s="5"/>
      <c r="AO113" s="5"/>
      <c r="AP113" s="5"/>
      <c r="AQ113" s="5"/>
      <c r="A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1:105" x14ac:dyDescent="0.25">
      <c r="A114" s="132"/>
      <c r="B114" s="135"/>
      <c r="C114" s="111"/>
      <c r="D114" s="111"/>
      <c r="E114" s="136"/>
      <c r="F114" s="43"/>
      <c r="Q114" s="121"/>
      <c r="T114" s="121"/>
      <c r="U114" s="121"/>
      <c r="V114" s="121"/>
      <c r="W114" s="121"/>
      <c r="X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K114" s="32"/>
      <c r="AM114" s="5"/>
      <c r="AO114" s="5"/>
      <c r="AP114" s="5"/>
      <c r="AQ114" s="5"/>
      <c r="A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1:105" x14ac:dyDescent="0.25">
      <c r="A115" s="132"/>
      <c r="B115" s="135"/>
      <c r="C115" s="111"/>
      <c r="D115" s="111"/>
      <c r="E115" s="136"/>
      <c r="F115" s="43"/>
      <c r="Q115" s="121"/>
      <c r="T115" s="121"/>
      <c r="U115" s="121"/>
      <c r="V115" s="121"/>
      <c r="W115" s="121"/>
      <c r="X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K115" s="32"/>
      <c r="AM115" s="5"/>
      <c r="AO115" s="5"/>
      <c r="AP115" s="5"/>
      <c r="AQ115" s="5"/>
      <c r="A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1:105" x14ac:dyDescent="0.25">
      <c r="A116" s="132"/>
      <c r="B116" s="135"/>
      <c r="C116" s="111"/>
      <c r="D116" s="111"/>
      <c r="E116" s="136"/>
      <c r="F116" s="43"/>
      <c r="Q116" s="121"/>
      <c r="T116" s="121"/>
      <c r="U116" s="121"/>
      <c r="V116" s="121"/>
      <c r="W116" s="121"/>
      <c r="X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K116" s="32"/>
      <c r="AM116" s="5"/>
      <c r="AO116" s="5"/>
      <c r="AP116" s="5"/>
      <c r="AQ116" s="5"/>
      <c r="A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1:105" x14ac:dyDescent="0.25">
      <c r="A117" s="132"/>
      <c r="B117" s="135"/>
      <c r="C117" s="111"/>
      <c r="D117" s="111"/>
      <c r="E117" s="136"/>
      <c r="F117" s="43"/>
      <c r="Q117" s="121"/>
      <c r="T117" s="121"/>
      <c r="U117" s="121"/>
      <c r="V117" s="121"/>
      <c r="W117" s="121"/>
      <c r="X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K117" s="32"/>
      <c r="AM117" s="5"/>
      <c r="AO117" s="5"/>
      <c r="AP117" s="5"/>
      <c r="AQ117" s="5"/>
      <c r="A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1:105" x14ac:dyDescent="0.25">
      <c r="A118" s="132"/>
      <c r="B118" s="135"/>
      <c r="C118" s="111"/>
      <c r="D118" s="111"/>
      <c r="E118" s="136"/>
      <c r="F118" s="43"/>
      <c r="Q118" s="121"/>
      <c r="T118" s="121"/>
      <c r="U118" s="121"/>
      <c r="V118" s="121"/>
      <c r="W118" s="121"/>
      <c r="X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K118" s="32"/>
      <c r="AM118" s="5"/>
      <c r="AO118" s="5"/>
      <c r="AP118" s="5"/>
      <c r="AQ118" s="5"/>
      <c r="A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1:105" x14ac:dyDescent="0.25">
      <c r="A119" s="132"/>
      <c r="B119" s="135"/>
      <c r="C119" s="111"/>
      <c r="D119" s="111"/>
      <c r="E119" s="136"/>
      <c r="F119" s="43"/>
      <c r="Q119" s="121"/>
      <c r="T119" s="121"/>
      <c r="U119" s="121"/>
      <c r="V119" s="121"/>
      <c r="W119" s="121"/>
      <c r="X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K119" s="32"/>
      <c r="AM119" s="5"/>
      <c r="AO119" s="5"/>
      <c r="AP119" s="5"/>
      <c r="AQ119" s="5"/>
      <c r="A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1:105" x14ac:dyDescent="0.25">
      <c r="A120" s="132"/>
      <c r="B120" s="135"/>
      <c r="C120" s="111"/>
      <c r="D120" s="111"/>
      <c r="E120" s="136"/>
      <c r="F120" s="43"/>
      <c r="Q120" s="121"/>
      <c r="T120" s="121"/>
      <c r="U120" s="121"/>
      <c r="V120" s="121"/>
      <c r="W120" s="121"/>
      <c r="X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K120" s="32"/>
      <c r="AM120" s="5"/>
      <c r="AO120" s="5"/>
      <c r="AP120" s="5"/>
      <c r="AQ120" s="5"/>
      <c r="A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1:105" x14ac:dyDescent="0.25">
      <c r="A121" s="132"/>
      <c r="B121" s="135"/>
      <c r="C121" s="111"/>
      <c r="D121" s="111"/>
      <c r="E121" s="136"/>
      <c r="F121" s="43"/>
      <c r="Q121" s="121"/>
      <c r="T121" s="121"/>
      <c r="U121" s="121"/>
      <c r="V121" s="121"/>
      <c r="W121" s="121"/>
      <c r="X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K121" s="32"/>
      <c r="AM121" s="5"/>
      <c r="AO121" s="5"/>
      <c r="AP121" s="5"/>
      <c r="AQ121" s="5"/>
      <c r="A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1:105" x14ac:dyDescent="0.25">
      <c r="A122" s="132"/>
      <c r="B122" s="135"/>
      <c r="C122" s="111"/>
      <c r="D122" s="111"/>
      <c r="E122" s="136"/>
      <c r="F122" s="43"/>
      <c r="Q122" s="121"/>
      <c r="T122" s="121"/>
      <c r="U122" s="121"/>
      <c r="V122" s="121"/>
      <c r="W122" s="121"/>
      <c r="X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K122" s="32"/>
      <c r="AM122" s="5"/>
      <c r="AO122" s="5"/>
      <c r="AP122" s="5"/>
      <c r="AQ122" s="5"/>
      <c r="A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1:105" x14ac:dyDescent="0.25">
      <c r="A123" s="132"/>
      <c r="B123" s="135"/>
      <c r="C123" s="111"/>
      <c r="D123" s="111"/>
      <c r="E123" s="136"/>
      <c r="F123" s="43"/>
      <c r="Q123" s="121"/>
      <c r="T123" s="121"/>
      <c r="U123" s="121"/>
      <c r="V123" s="121"/>
      <c r="W123" s="121"/>
      <c r="X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K123" s="32"/>
      <c r="AM123" s="5"/>
      <c r="AO123" s="5"/>
      <c r="AP123" s="5"/>
      <c r="AQ123" s="5"/>
      <c r="A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1:105" x14ac:dyDescent="0.25">
      <c r="A124" s="132"/>
      <c r="B124" s="135"/>
      <c r="C124" s="111"/>
      <c r="D124" s="111"/>
      <c r="E124" s="136"/>
      <c r="F124" s="43"/>
      <c r="Q124" s="121"/>
      <c r="T124" s="121"/>
      <c r="U124" s="121"/>
      <c r="V124" s="121"/>
      <c r="W124" s="121"/>
      <c r="X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K124" s="32"/>
      <c r="AM124" s="5"/>
      <c r="AO124" s="5"/>
      <c r="AP124" s="5"/>
      <c r="AQ124" s="5"/>
      <c r="A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1:105" x14ac:dyDescent="0.25">
      <c r="A125" s="132"/>
      <c r="B125" s="135"/>
      <c r="C125" s="111"/>
      <c r="D125" s="111"/>
      <c r="E125" s="136"/>
      <c r="F125" s="43"/>
      <c r="Q125" s="121"/>
      <c r="T125" s="121"/>
      <c r="U125" s="121"/>
      <c r="V125" s="121"/>
      <c r="W125" s="121"/>
      <c r="X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K125" s="32"/>
      <c r="AM125" s="5"/>
      <c r="AO125" s="5"/>
      <c r="AP125" s="5"/>
      <c r="AQ125" s="5"/>
      <c r="A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1:105" x14ac:dyDescent="0.25">
      <c r="A126" s="132"/>
      <c r="B126" s="135"/>
      <c r="C126" s="111"/>
      <c r="D126" s="111"/>
      <c r="E126" s="136"/>
      <c r="F126" s="43"/>
      <c r="Q126" s="121"/>
      <c r="T126" s="121"/>
      <c r="U126" s="121"/>
      <c r="V126" s="121"/>
      <c r="W126" s="121"/>
      <c r="X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K126" s="32"/>
      <c r="AM126" s="5"/>
      <c r="AO126" s="5"/>
      <c r="AP126" s="5"/>
      <c r="AQ126" s="5"/>
      <c r="A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1:105" x14ac:dyDescent="0.25">
      <c r="A127" s="132"/>
      <c r="B127" s="135"/>
      <c r="C127" s="111"/>
      <c r="D127" s="111"/>
      <c r="E127" s="136"/>
      <c r="F127" s="43"/>
      <c r="Q127" s="121"/>
      <c r="T127" s="121"/>
      <c r="U127" s="121"/>
      <c r="V127" s="121"/>
      <c r="W127" s="121"/>
      <c r="X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K127" s="32"/>
      <c r="AM127" s="5"/>
      <c r="AO127" s="5"/>
      <c r="AP127" s="5"/>
      <c r="AQ127" s="5"/>
      <c r="A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1:105" x14ac:dyDescent="0.25">
      <c r="A128" s="132"/>
      <c r="B128" s="135"/>
      <c r="C128" s="111"/>
      <c r="D128" s="111"/>
      <c r="E128" s="136"/>
      <c r="F128" s="43"/>
      <c r="Q128" s="121"/>
      <c r="T128" s="121"/>
      <c r="U128" s="121"/>
      <c r="V128" s="121"/>
      <c r="W128" s="121"/>
      <c r="X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K128" s="32"/>
      <c r="AM128" s="5"/>
      <c r="AO128" s="5"/>
      <c r="AP128" s="5"/>
      <c r="AQ128" s="5"/>
      <c r="A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1:105" x14ac:dyDescent="0.25">
      <c r="A129" s="132"/>
      <c r="B129" s="135"/>
      <c r="C129" s="111"/>
      <c r="D129" s="111"/>
      <c r="E129" s="136"/>
      <c r="F129" s="43"/>
      <c r="Q129" s="121"/>
      <c r="T129" s="121"/>
      <c r="U129" s="121"/>
      <c r="V129" s="121"/>
      <c r="W129" s="121"/>
      <c r="X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K129" s="32"/>
      <c r="AM129" s="5"/>
      <c r="AO129" s="5"/>
      <c r="AP129" s="5"/>
      <c r="AQ129" s="5"/>
      <c r="A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1:105" x14ac:dyDescent="0.25">
      <c r="A130" s="132"/>
      <c r="B130" s="135"/>
      <c r="C130" s="111"/>
      <c r="D130" s="111"/>
      <c r="E130" s="136"/>
      <c r="F130" s="43"/>
      <c r="Q130" s="121"/>
      <c r="T130" s="121"/>
      <c r="U130" s="121"/>
      <c r="V130" s="121"/>
      <c r="W130" s="121"/>
      <c r="X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K130" s="32"/>
      <c r="AM130" s="5"/>
      <c r="AO130" s="5"/>
      <c r="AP130" s="5"/>
      <c r="AQ130" s="5"/>
      <c r="A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1:105" x14ac:dyDescent="0.25">
      <c r="A131" s="132"/>
      <c r="B131" s="135"/>
      <c r="C131" s="111"/>
      <c r="D131" s="111"/>
      <c r="E131" s="136"/>
      <c r="F131" s="43"/>
      <c r="Q131" s="121"/>
      <c r="T131" s="121"/>
      <c r="U131" s="121"/>
      <c r="V131" s="121"/>
      <c r="W131" s="121"/>
      <c r="X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K131" s="32"/>
      <c r="AM131" s="5"/>
      <c r="AO131" s="5"/>
      <c r="AP131" s="5"/>
      <c r="AQ131" s="5"/>
      <c r="A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1:105" x14ac:dyDescent="0.25">
      <c r="A132" s="132"/>
      <c r="B132" s="135"/>
      <c r="C132" s="111"/>
      <c r="D132" s="111"/>
      <c r="E132" s="136"/>
      <c r="F132" s="43"/>
      <c r="Q132" s="121"/>
      <c r="T132" s="121"/>
      <c r="U132" s="121"/>
      <c r="V132" s="121"/>
      <c r="W132" s="121"/>
      <c r="X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K132" s="32"/>
      <c r="AM132" s="5"/>
      <c r="AO132" s="5"/>
      <c r="AP132" s="5"/>
      <c r="AQ132" s="5"/>
      <c r="A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1:105" x14ac:dyDescent="0.25">
      <c r="A133" s="132"/>
      <c r="B133" s="135"/>
      <c r="C133" s="111"/>
      <c r="D133" s="111"/>
      <c r="E133" s="136"/>
      <c r="F133" s="43"/>
      <c r="Q133" s="121"/>
      <c r="T133" s="121"/>
      <c r="U133" s="121"/>
      <c r="V133" s="121"/>
      <c r="W133" s="121"/>
      <c r="X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K133" s="32"/>
      <c r="AM133" s="5"/>
      <c r="AO133" s="5"/>
      <c r="AP133" s="5"/>
      <c r="AQ133" s="5"/>
      <c r="A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1:105" x14ac:dyDescent="0.25">
      <c r="A134" s="132"/>
      <c r="B134" s="135"/>
      <c r="C134" s="111"/>
      <c r="D134" s="111"/>
      <c r="E134" s="136"/>
      <c r="F134" s="43"/>
      <c r="Q134" s="121"/>
      <c r="T134" s="121"/>
      <c r="U134" s="121"/>
      <c r="V134" s="121"/>
      <c r="W134" s="121"/>
      <c r="X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K134" s="32"/>
      <c r="AM134" s="5"/>
      <c r="AO134" s="5"/>
      <c r="AP134" s="5"/>
      <c r="AQ134" s="5"/>
      <c r="A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1:105" x14ac:dyDescent="0.25">
      <c r="A135" s="132"/>
      <c r="B135" s="135"/>
      <c r="C135" s="111"/>
      <c r="D135" s="111"/>
      <c r="E135" s="136"/>
      <c r="F135" s="43"/>
      <c r="Q135" s="121"/>
      <c r="T135" s="121"/>
      <c r="U135" s="121"/>
      <c r="V135" s="121"/>
      <c r="W135" s="121"/>
      <c r="X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K135" s="32"/>
      <c r="AM135" s="5"/>
      <c r="AO135" s="5"/>
      <c r="AP135" s="5"/>
      <c r="AQ135" s="5"/>
      <c r="A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1:105" x14ac:dyDescent="0.25">
      <c r="A136" s="132"/>
      <c r="B136" s="135"/>
      <c r="C136" s="111"/>
      <c r="D136" s="111"/>
      <c r="E136" s="136"/>
      <c r="F136" s="43"/>
      <c r="Q136" s="121"/>
      <c r="T136" s="121"/>
      <c r="U136" s="121"/>
      <c r="V136" s="121"/>
      <c r="W136" s="121"/>
      <c r="X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K136" s="32"/>
      <c r="AM136" s="5"/>
      <c r="AO136" s="5"/>
      <c r="AP136" s="5"/>
      <c r="AQ136" s="5"/>
      <c r="A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1:105" x14ac:dyDescent="0.25">
      <c r="A137" s="132"/>
      <c r="B137" s="135"/>
      <c r="C137" s="111"/>
      <c r="D137" s="111"/>
      <c r="E137" s="136"/>
      <c r="F137" s="43"/>
      <c r="Q137" s="121"/>
      <c r="T137" s="121"/>
      <c r="U137" s="121"/>
      <c r="V137" s="121"/>
      <c r="W137" s="121"/>
      <c r="X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K137" s="32"/>
      <c r="AM137" s="5"/>
      <c r="AO137" s="5"/>
      <c r="AP137" s="5"/>
      <c r="AQ137" s="5"/>
      <c r="A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1:105" x14ac:dyDescent="0.25">
      <c r="A138" s="132"/>
      <c r="B138" s="135"/>
      <c r="C138" s="111"/>
      <c r="D138" s="111"/>
      <c r="E138" s="136"/>
      <c r="F138" s="43"/>
      <c r="Q138" s="121"/>
      <c r="T138" s="121"/>
      <c r="U138" s="121"/>
      <c r="V138" s="121"/>
      <c r="W138" s="121"/>
      <c r="X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K138" s="32"/>
      <c r="AM138" s="5"/>
      <c r="AO138" s="5"/>
      <c r="AP138" s="5"/>
      <c r="AQ138" s="5"/>
      <c r="A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1:105" x14ac:dyDescent="0.25">
      <c r="A139" s="132"/>
      <c r="B139" s="135"/>
      <c r="C139" s="111"/>
      <c r="D139" s="111"/>
      <c r="E139" s="136"/>
      <c r="F139" s="43"/>
      <c r="Q139" s="121"/>
      <c r="T139" s="121"/>
      <c r="U139" s="121"/>
      <c r="V139" s="121"/>
      <c r="W139" s="121"/>
      <c r="X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K139" s="32"/>
      <c r="AM139" s="5"/>
      <c r="AO139" s="5"/>
      <c r="AP139" s="5"/>
      <c r="AQ139" s="5"/>
      <c r="A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1:105" x14ac:dyDescent="0.25">
      <c r="A140" s="132"/>
      <c r="B140" s="135"/>
      <c r="C140" s="111"/>
      <c r="D140" s="111"/>
      <c r="E140" s="136"/>
      <c r="F140" s="43"/>
      <c r="Q140" s="121"/>
      <c r="T140" s="121"/>
      <c r="U140" s="121"/>
      <c r="V140" s="121"/>
      <c r="W140" s="121"/>
      <c r="X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K140" s="32"/>
      <c r="AM140" s="5"/>
      <c r="AO140" s="5"/>
      <c r="AP140" s="5"/>
      <c r="AQ140" s="5"/>
      <c r="A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1:105" x14ac:dyDescent="0.25">
      <c r="A141" s="132"/>
      <c r="B141" s="135"/>
      <c r="C141" s="111"/>
      <c r="D141" s="111"/>
      <c r="E141" s="136"/>
      <c r="F141" s="43"/>
      <c r="Q141" s="121"/>
      <c r="T141" s="121"/>
      <c r="U141" s="121"/>
      <c r="V141" s="121"/>
      <c r="W141" s="121"/>
      <c r="X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K141" s="32"/>
      <c r="AM141" s="5"/>
      <c r="AO141" s="5"/>
      <c r="AP141" s="5"/>
      <c r="AQ141" s="5"/>
      <c r="A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1:105" x14ac:dyDescent="0.25">
      <c r="A142" s="132"/>
      <c r="B142" s="135"/>
      <c r="C142" s="111"/>
      <c r="D142" s="111"/>
      <c r="E142" s="136"/>
      <c r="F142" s="43"/>
      <c r="Q142" s="121"/>
      <c r="T142" s="121"/>
      <c r="U142" s="121"/>
      <c r="V142" s="121"/>
      <c r="W142" s="121"/>
      <c r="X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K142" s="32"/>
      <c r="AM142" s="5"/>
      <c r="AO142" s="5"/>
      <c r="AP142" s="5"/>
      <c r="AQ142" s="5"/>
      <c r="A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1:105" x14ac:dyDescent="0.25">
      <c r="A143" s="132"/>
      <c r="B143" s="135"/>
      <c r="C143" s="111"/>
      <c r="D143" s="111"/>
      <c r="E143" s="136"/>
      <c r="F143" s="43"/>
      <c r="Q143" s="121"/>
      <c r="T143" s="121"/>
      <c r="U143" s="121"/>
      <c r="V143" s="121"/>
      <c r="W143" s="121"/>
      <c r="X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K143" s="32"/>
      <c r="AM143" s="5"/>
      <c r="AO143" s="5"/>
      <c r="AP143" s="5"/>
      <c r="AQ143" s="5"/>
      <c r="A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1:105" x14ac:dyDescent="0.25">
      <c r="A144" s="132"/>
      <c r="B144" s="135"/>
      <c r="C144" s="111"/>
      <c r="D144" s="111"/>
      <c r="E144" s="136"/>
      <c r="F144" s="43"/>
      <c r="Q144" s="121"/>
      <c r="T144" s="121"/>
      <c r="U144" s="121"/>
      <c r="V144" s="121"/>
      <c r="W144" s="121"/>
      <c r="X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K144" s="32"/>
      <c r="AM144" s="5"/>
      <c r="AO144" s="5"/>
      <c r="AP144" s="5"/>
      <c r="AQ144" s="5"/>
      <c r="A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1:105" x14ac:dyDescent="0.25">
      <c r="A145" s="132"/>
      <c r="B145" s="135"/>
      <c r="C145" s="111"/>
      <c r="D145" s="111"/>
      <c r="E145" s="136"/>
      <c r="F145" s="43"/>
      <c r="Q145" s="121"/>
      <c r="T145" s="121"/>
      <c r="U145" s="121"/>
      <c r="V145" s="121"/>
      <c r="W145" s="121"/>
      <c r="X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K145" s="32"/>
      <c r="AM145" s="5"/>
      <c r="AO145" s="5"/>
      <c r="AP145" s="5"/>
      <c r="AQ145" s="5"/>
      <c r="A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1:105" x14ac:dyDescent="0.25">
      <c r="A146" s="132"/>
      <c r="B146" s="135"/>
      <c r="C146" s="111"/>
      <c r="D146" s="111"/>
      <c r="E146" s="136"/>
      <c r="F146" s="43"/>
      <c r="Q146" s="121"/>
      <c r="T146" s="121"/>
      <c r="U146" s="121"/>
      <c r="V146" s="121"/>
      <c r="W146" s="121"/>
      <c r="X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K146" s="32"/>
      <c r="AM146" s="5"/>
      <c r="AO146" s="5"/>
      <c r="AP146" s="5"/>
      <c r="AQ146" s="5"/>
      <c r="A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1:105" x14ac:dyDescent="0.25">
      <c r="A147" s="132"/>
      <c r="B147" s="135"/>
      <c r="C147" s="111"/>
      <c r="D147" s="111"/>
      <c r="E147" s="136"/>
      <c r="F147" s="43"/>
      <c r="Q147" s="121"/>
      <c r="T147" s="121"/>
      <c r="U147" s="121"/>
      <c r="V147" s="121"/>
      <c r="W147" s="121"/>
      <c r="X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K147" s="32"/>
      <c r="AM147" s="5"/>
      <c r="AO147" s="5"/>
      <c r="AP147" s="5"/>
      <c r="AQ147" s="5"/>
      <c r="A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1:105" x14ac:dyDescent="0.25">
      <c r="A148" s="132"/>
      <c r="B148" s="135"/>
      <c r="C148" s="111"/>
      <c r="D148" s="111"/>
      <c r="E148" s="136"/>
      <c r="F148" s="43"/>
      <c r="Q148" s="121"/>
      <c r="T148" s="121"/>
      <c r="U148" s="121"/>
      <c r="V148" s="121"/>
      <c r="W148" s="121"/>
      <c r="X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K148" s="32"/>
      <c r="AM148" s="5"/>
      <c r="AO148" s="5"/>
      <c r="AP148" s="5"/>
      <c r="AQ148" s="5"/>
      <c r="A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1:105" x14ac:dyDescent="0.25">
      <c r="A149" s="132"/>
      <c r="B149" s="135"/>
      <c r="C149" s="111"/>
      <c r="D149" s="111"/>
      <c r="E149" s="136"/>
      <c r="F149" s="43"/>
      <c r="Q149" s="121"/>
      <c r="T149" s="121"/>
      <c r="U149" s="121"/>
      <c r="V149" s="121"/>
      <c r="W149" s="121"/>
      <c r="X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K149" s="32"/>
      <c r="AM149" s="5"/>
      <c r="AO149" s="5"/>
      <c r="AP149" s="5"/>
      <c r="AQ149" s="5"/>
      <c r="A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1:105" x14ac:dyDescent="0.25">
      <c r="A150" s="132"/>
      <c r="B150" s="135"/>
      <c r="C150" s="111"/>
      <c r="D150" s="111"/>
      <c r="E150" s="136"/>
      <c r="F150" s="43"/>
      <c r="Q150" s="121"/>
      <c r="T150" s="121"/>
      <c r="U150" s="121"/>
      <c r="V150" s="121"/>
      <c r="W150" s="121"/>
      <c r="X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K150" s="32"/>
      <c r="AM150" s="5"/>
      <c r="AO150" s="5"/>
      <c r="AP150" s="5"/>
      <c r="AQ150" s="5"/>
      <c r="A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1:105" x14ac:dyDescent="0.25">
      <c r="A151" s="132"/>
      <c r="B151" s="135"/>
      <c r="C151" s="111"/>
      <c r="D151" s="111"/>
      <c r="E151" s="136"/>
      <c r="F151" s="43"/>
      <c r="Q151" s="121"/>
      <c r="T151" s="121"/>
      <c r="U151" s="121"/>
      <c r="V151" s="121"/>
      <c r="W151" s="121"/>
      <c r="X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K151" s="32"/>
      <c r="AM151" s="5"/>
      <c r="AO151" s="5"/>
      <c r="AP151" s="5"/>
      <c r="AQ151" s="5"/>
      <c r="A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1:105" x14ac:dyDescent="0.25">
      <c r="A152" s="132"/>
      <c r="B152" s="135"/>
      <c r="C152" s="111"/>
      <c r="D152" s="111"/>
      <c r="E152" s="136"/>
      <c r="F152" s="43"/>
      <c r="Q152" s="121"/>
      <c r="T152" s="121"/>
      <c r="U152" s="121"/>
      <c r="V152" s="121"/>
      <c r="W152" s="121"/>
      <c r="X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K152" s="32"/>
      <c r="AM152" s="5"/>
      <c r="AO152" s="5"/>
      <c r="AP152" s="5"/>
      <c r="AQ152" s="5"/>
      <c r="A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1:105" x14ac:dyDescent="0.25">
      <c r="A153" s="132"/>
      <c r="B153" s="135"/>
      <c r="C153" s="111"/>
      <c r="D153" s="111"/>
      <c r="E153" s="136"/>
      <c r="F153" s="43"/>
      <c r="Q153" s="121"/>
      <c r="T153" s="121"/>
      <c r="U153" s="121"/>
      <c r="V153" s="121"/>
      <c r="W153" s="121"/>
      <c r="X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K153" s="32"/>
      <c r="AM153" s="5"/>
      <c r="AO153" s="5"/>
      <c r="AP153" s="5"/>
      <c r="AQ153" s="5"/>
      <c r="A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1:105" x14ac:dyDescent="0.25">
      <c r="A154" s="132"/>
      <c r="B154" s="135"/>
      <c r="C154" s="111"/>
      <c r="D154" s="111"/>
      <c r="E154" s="136"/>
      <c r="F154" s="43"/>
      <c r="Q154" s="121"/>
      <c r="T154" s="121"/>
      <c r="U154" s="121"/>
      <c r="V154" s="121"/>
      <c r="W154" s="121"/>
      <c r="X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K154" s="32"/>
      <c r="AM154" s="5"/>
      <c r="AO154" s="5"/>
      <c r="AP154" s="5"/>
      <c r="AQ154" s="5"/>
      <c r="A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1:105" x14ac:dyDescent="0.25">
      <c r="A155" s="132"/>
      <c r="B155" s="135"/>
      <c r="C155" s="111"/>
      <c r="D155" s="111"/>
      <c r="E155" s="136"/>
      <c r="F155" s="43"/>
      <c r="Q155" s="121"/>
      <c r="T155" s="121"/>
      <c r="U155" s="121"/>
      <c r="V155" s="121"/>
      <c r="W155" s="121"/>
      <c r="X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K155" s="32"/>
      <c r="AM155" s="5"/>
      <c r="AO155" s="5"/>
      <c r="AP155" s="5"/>
      <c r="AQ155" s="5"/>
      <c r="A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1:105" x14ac:dyDescent="0.25">
      <c r="A156" s="132"/>
      <c r="B156" s="135"/>
      <c r="C156" s="111"/>
      <c r="D156" s="111"/>
      <c r="E156" s="136"/>
      <c r="F156" s="43"/>
      <c r="Q156" s="121"/>
      <c r="T156" s="121"/>
      <c r="U156" s="121"/>
      <c r="V156" s="121"/>
      <c r="W156" s="121"/>
      <c r="X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K156" s="32"/>
      <c r="AM156" s="5"/>
      <c r="AO156" s="5"/>
      <c r="AP156" s="5"/>
      <c r="AQ156" s="5"/>
      <c r="A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1:105" x14ac:dyDescent="0.25">
      <c r="A157" s="132"/>
      <c r="B157" s="135"/>
      <c r="C157" s="111"/>
      <c r="D157" s="111"/>
      <c r="E157" s="136"/>
      <c r="F157" s="43"/>
      <c r="Q157" s="121"/>
      <c r="T157" s="121"/>
      <c r="U157" s="121"/>
      <c r="V157" s="121"/>
      <c r="W157" s="121"/>
      <c r="X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K157" s="32"/>
      <c r="AM157" s="5"/>
      <c r="AO157" s="5"/>
      <c r="AP157" s="5"/>
      <c r="AQ157" s="5"/>
      <c r="A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1:105" x14ac:dyDescent="0.25">
      <c r="A158" s="132"/>
      <c r="B158" s="135"/>
      <c r="C158" s="111"/>
      <c r="D158" s="111"/>
      <c r="E158" s="136"/>
      <c r="F158" s="43"/>
      <c r="Q158" s="121"/>
      <c r="T158" s="121"/>
      <c r="U158" s="121"/>
      <c r="V158" s="121"/>
      <c r="W158" s="121"/>
      <c r="X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K158" s="32"/>
      <c r="AM158" s="5"/>
      <c r="AO158" s="5"/>
      <c r="AP158" s="5"/>
      <c r="AQ158" s="5"/>
      <c r="A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1:105" x14ac:dyDescent="0.25">
      <c r="A159" s="132"/>
      <c r="B159" s="135"/>
      <c r="C159" s="111"/>
      <c r="D159" s="111"/>
      <c r="E159" s="136"/>
      <c r="F159" s="43"/>
      <c r="Q159" s="121"/>
      <c r="T159" s="121"/>
      <c r="U159" s="121"/>
      <c r="V159" s="121"/>
      <c r="W159" s="121"/>
      <c r="X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K159" s="32"/>
      <c r="AM159" s="5"/>
      <c r="AO159" s="5"/>
      <c r="AP159" s="5"/>
      <c r="AQ159" s="5"/>
      <c r="A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1:105" x14ac:dyDescent="0.25">
      <c r="A160" s="132"/>
      <c r="B160" s="135"/>
      <c r="C160" s="111"/>
      <c r="D160" s="111"/>
      <c r="E160" s="136"/>
      <c r="F160" s="43"/>
      <c r="Q160" s="121"/>
      <c r="T160" s="121"/>
      <c r="U160" s="121"/>
      <c r="V160" s="121"/>
      <c r="W160" s="121"/>
      <c r="X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K160" s="32"/>
      <c r="AM160" s="5"/>
      <c r="AO160" s="5"/>
      <c r="AP160" s="5"/>
      <c r="AQ160" s="5"/>
      <c r="A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1:105" x14ac:dyDescent="0.25">
      <c r="A161" s="132"/>
      <c r="B161" s="135"/>
      <c r="C161" s="111"/>
      <c r="D161" s="111"/>
      <c r="E161" s="136"/>
      <c r="F161" s="43"/>
      <c r="Q161" s="121"/>
      <c r="T161" s="121"/>
      <c r="U161" s="121"/>
      <c r="V161" s="121"/>
      <c r="W161" s="121"/>
      <c r="X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K161" s="32"/>
      <c r="AM161" s="5"/>
      <c r="AO161" s="5"/>
      <c r="AP161" s="5"/>
      <c r="AQ161" s="5"/>
      <c r="A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1:105" x14ac:dyDescent="0.25">
      <c r="A162" s="132"/>
      <c r="B162" s="135"/>
      <c r="C162" s="111"/>
      <c r="D162" s="111"/>
      <c r="E162" s="136"/>
      <c r="F162" s="43"/>
      <c r="Q162" s="121"/>
      <c r="T162" s="121"/>
      <c r="U162" s="121"/>
      <c r="V162" s="121"/>
      <c r="W162" s="121"/>
      <c r="X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K162" s="32"/>
      <c r="AM162" s="5"/>
      <c r="AO162" s="5"/>
      <c r="AP162" s="5"/>
      <c r="AQ162" s="5"/>
      <c r="A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1:105" x14ac:dyDescent="0.25">
      <c r="A163" s="132"/>
      <c r="B163" s="135"/>
      <c r="C163" s="111"/>
      <c r="D163" s="111"/>
      <c r="E163" s="136"/>
      <c r="F163" s="43"/>
      <c r="Q163" s="121"/>
      <c r="T163" s="121"/>
      <c r="U163" s="121"/>
      <c r="V163" s="121"/>
      <c r="W163" s="121"/>
      <c r="X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K163" s="32"/>
      <c r="AM163" s="5"/>
      <c r="AO163" s="5"/>
      <c r="AP163" s="5"/>
      <c r="AQ163" s="5"/>
      <c r="A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1:105" x14ac:dyDescent="0.25">
      <c r="A164" s="132"/>
      <c r="B164" s="135"/>
      <c r="C164" s="111"/>
      <c r="D164" s="111"/>
      <c r="E164" s="136"/>
      <c r="F164" s="43"/>
      <c r="Q164" s="121"/>
      <c r="T164" s="121"/>
      <c r="U164" s="121"/>
      <c r="V164" s="121"/>
      <c r="W164" s="121"/>
      <c r="X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K164" s="32"/>
      <c r="AM164" s="5"/>
      <c r="AO164" s="5"/>
      <c r="AP164" s="5"/>
      <c r="AQ164" s="5"/>
      <c r="A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1:105" x14ac:dyDescent="0.25">
      <c r="A165" s="132"/>
      <c r="B165" s="135"/>
      <c r="C165" s="111"/>
      <c r="D165" s="111"/>
      <c r="E165" s="136"/>
      <c r="F165" s="43"/>
      <c r="Q165" s="121"/>
      <c r="T165" s="121"/>
      <c r="U165" s="121"/>
      <c r="V165" s="121"/>
      <c r="W165" s="121"/>
      <c r="X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K165" s="32"/>
      <c r="AM165" s="5"/>
      <c r="AO165" s="5"/>
      <c r="AP165" s="5"/>
      <c r="AQ165" s="5"/>
      <c r="A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1:105" x14ac:dyDescent="0.25">
      <c r="A166" s="132"/>
      <c r="B166" s="135"/>
      <c r="C166" s="111"/>
      <c r="D166" s="111"/>
      <c r="E166" s="136"/>
      <c r="F166" s="43"/>
      <c r="Q166" s="121"/>
      <c r="T166" s="121"/>
      <c r="U166" s="121"/>
      <c r="V166" s="121"/>
      <c r="W166" s="121"/>
      <c r="X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K166" s="32"/>
      <c r="AM166" s="5"/>
      <c r="AO166" s="5"/>
      <c r="AP166" s="5"/>
      <c r="AQ166" s="5"/>
      <c r="A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1:105" x14ac:dyDescent="0.25">
      <c r="A167" s="132"/>
      <c r="B167" s="135"/>
      <c r="C167" s="111"/>
      <c r="D167" s="111"/>
      <c r="E167" s="136"/>
      <c r="F167" s="43"/>
      <c r="Q167" s="121"/>
      <c r="T167" s="121"/>
      <c r="U167" s="121"/>
      <c r="V167" s="121"/>
      <c r="W167" s="121"/>
      <c r="X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K167" s="32"/>
      <c r="AM167" s="5"/>
      <c r="AO167" s="5"/>
      <c r="AP167" s="5"/>
      <c r="AQ167" s="5"/>
      <c r="A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1:105" x14ac:dyDescent="0.25">
      <c r="A168" s="132"/>
      <c r="B168" s="135"/>
      <c r="C168" s="111"/>
      <c r="D168" s="111"/>
      <c r="E168" s="136"/>
      <c r="F168" s="43"/>
      <c r="Q168" s="121"/>
      <c r="T168" s="121"/>
      <c r="U168" s="121"/>
      <c r="V168" s="121"/>
      <c r="W168" s="121"/>
      <c r="X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K168" s="32"/>
      <c r="AM168" s="5"/>
      <c r="AO168" s="5"/>
      <c r="AP168" s="5"/>
      <c r="AQ168" s="5"/>
      <c r="A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1:105" x14ac:dyDescent="0.25">
      <c r="A169" s="132"/>
      <c r="B169" s="135"/>
      <c r="C169" s="111"/>
      <c r="D169" s="111"/>
      <c r="E169" s="136"/>
      <c r="F169" s="43"/>
      <c r="Q169" s="121"/>
      <c r="T169" s="121"/>
      <c r="U169" s="121"/>
      <c r="V169" s="121"/>
      <c r="W169" s="121"/>
      <c r="X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K169" s="32"/>
      <c r="AM169" s="5"/>
      <c r="AO169" s="5"/>
      <c r="AP169" s="5"/>
      <c r="AQ169" s="5"/>
      <c r="A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1:105" x14ac:dyDescent="0.25">
      <c r="A170" s="132"/>
      <c r="B170" s="135"/>
      <c r="C170" s="111"/>
      <c r="D170" s="111"/>
      <c r="E170" s="136"/>
      <c r="F170" s="43"/>
      <c r="Q170" s="121"/>
      <c r="T170" s="121"/>
      <c r="U170" s="121"/>
      <c r="V170" s="121"/>
      <c r="W170" s="121"/>
      <c r="X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K170" s="32"/>
      <c r="AM170" s="5"/>
      <c r="AO170" s="5"/>
      <c r="AP170" s="5"/>
      <c r="AQ170" s="5"/>
      <c r="A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1:105" x14ac:dyDescent="0.25">
      <c r="A171" s="132"/>
      <c r="B171" s="135"/>
      <c r="C171" s="111"/>
      <c r="D171" s="111"/>
      <c r="E171" s="136"/>
      <c r="F171" s="43"/>
      <c r="Q171" s="121"/>
      <c r="T171" s="121"/>
      <c r="U171" s="121"/>
      <c r="V171" s="121"/>
      <c r="W171" s="121"/>
      <c r="X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K171" s="32"/>
      <c r="AM171" s="5"/>
      <c r="AO171" s="5"/>
      <c r="AP171" s="5"/>
      <c r="AQ171" s="5"/>
      <c r="AR171" s="5"/>
      <c r="CS171" s="5"/>
      <c r="CT171" s="5"/>
      <c r="CU171" s="5"/>
      <c r="CV171" s="5"/>
      <c r="CW171" s="5"/>
      <c r="CX171" s="5"/>
      <c r="CY171" s="5"/>
      <c r="CZ171" s="5"/>
      <c r="DA171" s="5"/>
    </row>
    <row r="172" spans="1:105" x14ac:dyDescent="0.25">
      <c r="A172" s="132"/>
      <c r="B172" s="135"/>
      <c r="C172" s="111"/>
      <c r="D172" s="111"/>
      <c r="E172" s="136"/>
      <c r="F172" s="43"/>
      <c r="Q172" s="121"/>
      <c r="T172" s="121"/>
      <c r="U172" s="121"/>
      <c r="V172" s="121"/>
      <c r="W172" s="121"/>
      <c r="X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K172" s="32"/>
      <c r="AM172" s="5"/>
      <c r="AO172" s="5"/>
      <c r="AP172" s="5"/>
      <c r="AQ172" s="5"/>
      <c r="AR172" s="5"/>
      <c r="CS172" s="5"/>
      <c r="CT172" s="5"/>
      <c r="CU172" s="5"/>
      <c r="CV172" s="5"/>
      <c r="CW172" s="5"/>
      <c r="CX172" s="5"/>
      <c r="CY172" s="5"/>
      <c r="CZ172" s="5"/>
      <c r="DA172" s="5"/>
    </row>
    <row r="173" spans="1:105" x14ac:dyDescent="0.25">
      <c r="A173" s="132"/>
      <c r="B173" s="135"/>
      <c r="C173" s="111"/>
      <c r="D173" s="111"/>
      <c r="E173" s="136"/>
      <c r="F173" s="43"/>
      <c r="Q173" s="121"/>
      <c r="T173" s="121"/>
      <c r="U173" s="121"/>
      <c r="V173" s="121"/>
      <c r="W173" s="121"/>
      <c r="X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K173" s="32"/>
      <c r="AM173" s="5"/>
      <c r="AO173" s="5"/>
      <c r="AP173" s="5"/>
      <c r="AQ173" s="5"/>
      <c r="AR173" s="5"/>
      <c r="CS173" s="5"/>
      <c r="CT173" s="5"/>
      <c r="CU173" s="5"/>
      <c r="CV173" s="5"/>
      <c r="CW173" s="5"/>
      <c r="CX173" s="5"/>
      <c r="CY173" s="5"/>
      <c r="CZ173" s="5"/>
      <c r="DA173" s="5"/>
    </row>
    <row r="174" spans="1:105" x14ac:dyDescent="0.25">
      <c r="A174" s="132"/>
      <c r="B174" s="135"/>
      <c r="C174" s="111"/>
      <c r="D174" s="111"/>
      <c r="E174" s="136"/>
      <c r="F174" s="43"/>
      <c r="Q174" s="121"/>
      <c r="T174" s="121"/>
      <c r="U174" s="121"/>
      <c r="V174" s="121"/>
      <c r="W174" s="121"/>
      <c r="X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K174" s="32"/>
      <c r="AM174" s="5"/>
      <c r="AO174" s="5"/>
      <c r="AP174" s="5"/>
      <c r="AQ174" s="5"/>
      <c r="AR174" s="5"/>
      <c r="CS174" s="5"/>
      <c r="CT174" s="5"/>
      <c r="CU174" s="5"/>
      <c r="CV174" s="5"/>
      <c r="CW174" s="5"/>
      <c r="CX174" s="5"/>
      <c r="CY174" s="5"/>
      <c r="CZ174" s="5"/>
      <c r="DA174" s="5"/>
    </row>
    <row r="175" spans="1:105" x14ac:dyDescent="0.25">
      <c r="A175" s="132"/>
      <c r="B175" s="135"/>
      <c r="C175" s="111"/>
      <c r="D175" s="111"/>
      <c r="E175" s="136"/>
      <c r="F175" s="43"/>
      <c r="Q175" s="121"/>
      <c r="T175" s="121"/>
      <c r="U175" s="121"/>
      <c r="V175" s="121"/>
      <c r="W175" s="121"/>
      <c r="X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K175" s="32"/>
      <c r="AM175" s="5"/>
      <c r="AO175" s="5"/>
      <c r="AP175" s="5"/>
      <c r="AQ175" s="5"/>
      <c r="AR175" s="5"/>
      <c r="CS175" s="5"/>
      <c r="CT175" s="5"/>
      <c r="CU175" s="5"/>
      <c r="CV175" s="5"/>
      <c r="CW175" s="5"/>
      <c r="CX175" s="5"/>
      <c r="CY175" s="5"/>
      <c r="CZ175" s="5"/>
      <c r="DA175" s="5"/>
    </row>
    <row r="176" spans="1:105" x14ac:dyDescent="0.25">
      <c r="A176" s="132"/>
      <c r="B176" s="135"/>
      <c r="C176" s="111"/>
      <c r="D176" s="111"/>
      <c r="E176" s="136"/>
      <c r="F176" s="43"/>
      <c r="Q176" s="121"/>
      <c r="T176" s="121"/>
      <c r="U176" s="121"/>
      <c r="V176" s="121"/>
      <c r="W176" s="121"/>
      <c r="X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K176" s="32"/>
      <c r="AM176" s="5"/>
      <c r="AO176" s="5"/>
      <c r="AP176" s="5"/>
      <c r="AQ176" s="5"/>
      <c r="AR176" s="5"/>
      <c r="CS176" s="5"/>
      <c r="CT176" s="5"/>
      <c r="CU176" s="5"/>
      <c r="CV176" s="5"/>
      <c r="CW176" s="5"/>
      <c r="CX176" s="5"/>
      <c r="CY176" s="5"/>
      <c r="CZ176" s="5"/>
      <c r="DA176" s="5"/>
    </row>
    <row r="177" spans="1:105" x14ac:dyDescent="0.25">
      <c r="A177" s="132"/>
      <c r="B177" s="135"/>
      <c r="C177" s="111"/>
      <c r="D177" s="111"/>
      <c r="E177" s="136"/>
      <c r="F177" s="43"/>
      <c r="Q177" s="121"/>
      <c r="T177" s="121"/>
      <c r="U177" s="121"/>
      <c r="V177" s="121"/>
      <c r="W177" s="121"/>
      <c r="X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K177" s="32"/>
      <c r="AM177" s="5"/>
      <c r="AO177" s="5"/>
      <c r="AP177" s="5"/>
      <c r="AQ177" s="5"/>
      <c r="AR177" s="5"/>
      <c r="CS177" s="5"/>
      <c r="CT177" s="5"/>
      <c r="CU177" s="5"/>
      <c r="CV177" s="5"/>
      <c r="CW177" s="5"/>
      <c r="CX177" s="5"/>
      <c r="CY177" s="5"/>
      <c r="CZ177" s="5"/>
      <c r="DA177" s="5"/>
    </row>
    <row r="178" spans="1:105" x14ac:dyDescent="0.25">
      <c r="A178" s="132"/>
      <c r="B178" s="135"/>
      <c r="C178" s="111"/>
      <c r="D178" s="111"/>
      <c r="E178" s="136"/>
      <c r="F178" s="43"/>
      <c r="Q178" s="121"/>
      <c r="T178" s="121"/>
      <c r="U178" s="121"/>
      <c r="V178" s="121"/>
      <c r="W178" s="121"/>
      <c r="X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K178" s="32"/>
      <c r="AM178" s="5"/>
      <c r="AO178" s="5"/>
      <c r="AP178" s="5"/>
      <c r="AQ178" s="5"/>
      <c r="AR178" s="5"/>
      <c r="CS178" s="5"/>
      <c r="CT178" s="5"/>
      <c r="CU178" s="5"/>
      <c r="CV178" s="5"/>
      <c r="CW178" s="5"/>
      <c r="CX178" s="5"/>
      <c r="CY178" s="5"/>
      <c r="CZ178" s="5"/>
      <c r="DA178" s="5"/>
    </row>
    <row r="179" spans="1:105" x14ac:dyDescent="0.25">
      <c r="A179" s="132"/>
      <c r="B179" s="135"/>
      <c r="C179" s="111"/>
      <c r="D179" s="111"/>
      <c r="E179" s="136"/>
      <c r="F179" s="43"/>
      <c r="Q179" s="121"/>
      <c r="T179" s="121"/>
      <c r="U179" s="121"/>
      <c r="V179" s="121"/>
      <c r="W179" s="121"/>
      <c r="X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K179" s="32"/>
      <c r="AM179" s="5"/>
      <c r="AO179" s="5"/>
      <c r="AP179" s="5"/>
      <c r="AQ179" s="5"/>
      <c r="AR179" s="5"/>
      <c r="CS179" s="5"/>
      <c r="CT179" s="5"/>
      <c r="CU179" s="5"/>
      <c r="CV179" s="5"/>
      <c r="CW179" s="5"/>
      <c r="CX179" s="5"/>
      <c r="CY179" s="5"/>
      <c r="CZ179" s="5"/>
      <c r="DA179" s="5"/>
    </row>
    <row r="180" spans="1:105" x14ac:dyDescent="0.25">
      <c r="A180" s="132"/>
      <c r="B180" s="135"/>
      <c r="C180" s="111"/>
      <c r="D180" s="111"/>
      <c r="E180" s="136"/>
      <c r="F180" s="43"/>
      <c r="Q180" s="121"/>
      <c r="T180" s="121"/>
      <c r="U180" s="121"/>
      <c r="V180" s="121"/>
      <c r="W180" s="121"/>
      <c r="X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K180" s="32"/>
      <c r="AM180" s="5"/>
      <c r="AO180" s="5"/>
      <c r="AP180" s="5"/>
      <c r="AQ180" s="5"/>
      <c r="AR180" s="5"/>
      <c r="CS180" s="5"/>
      <c r="CT180" s="5"/>
      <c r="CU180" s="5"/>
      <c r="CV180" s="5"/>
      <c r="CW180" s="5"/>
      <c r="CX180" s="5"/>
      <c r="CY180" s="5"/>
      <c r="CZ180" s="5"/>
      <c r="DA180" s="5"/>
    </row>
    <row r="181" spans="1:105" x14ac:dyDescent="0.25">
      <c r="A181" s="132"/>
      <c r="B181" s="135"/>
      <c r="C181" s="111"/>
      <c r="D181" s="111"/>
      <c r="E181" s="136"/>
      <c r="F181" s="43"/>
      <c r="Q181" s="121"/>
      <c r="T181" s="121"/>
      <c r="U181" s="121"/>
      <c r="V181" s="121"/>
      <c r="W181" s="121"/>
      <c r="X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K181" s="32"/>
      <c r="AM181" s="5"/>
      <c r="AO181" s="5"/>
      <c r="AP181" s="5"/>
      <c r="AQ181" s="5"/>
      <c r="AR181" s="5"/>
      <c r="CS181" s="5"/>
      <c r="CT181" s="5"/>
      <c r="CU181" s="5"/>
      <c r="CV181" s="5"/>
      <c r="CW181" s="5"/>
      <c r="CX181" s="5"/>
      <c r="CY181" s="5"/>
      <c r="CZ181" s="5"/>
      <c r="DA181" s="5"/>
    </row>
    <row r="182" spans="1:105" x14ac:dyDescent="0.25">
      <c r="A182" s="132"/>
      <c r="B182" s="135"/>
      <c r="C182" s="111"/>
      <c r="D182" s="111"/>
      <c r="E182" s="136"/>
      <c r="F182" s="43"/>
      <c r="Q182" s="121"/>
      <c r="T182" s="121"/>
      <c r="U182" s="121"/>
      <c r="V182" s="121"/>
      <c r="W182" s="121"/>
      <c r="X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K182" s="32"/>
      <c r="AM182" s="5"/>
      <c r="AO182" s="5"/>
      <c r="AP182" s="5"/>
      <c r="AQ182" s="5"/>
      <c r="AR182" s="5"/>
      <c r="CS182" s="5"/>
      <c r="CT182" s="5"/>
      <c r="CU182" s="5"/>
      <c r="CV182" s="5"/>
      <c r="CW182" s="5"/>
      <c r="CX182" s="5"/>
      <c r="CY182" s="5"/>
      <c r="CZ182" s="5"/>
      <c r="DA182" s="5"/>
    </row>
    <row r="183" spans="1:105" x14ac:dyDescent="0.25">
      <c r="A183" s="132"/>
      <c r="B183" s="135"/>
      <c r="C183" s="111"/>
      <c r="D183" s="111"/>
      <c r="E183" s="136"/>
      <c r="F183" s="43"/>
      <c r="Q183" s="121"/>
      <c r="T183" s="121"/>
      <c r="U183" s="121"/>
      <c r="V183" s="121"/>
      <c r="W183" s="121"/>
      <c r="X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K183" s="32"/>
      <c r="AM183" s="5"/>
      <c r="AO183" s="5"/>
      <c r="AP183" s="5"/>
      <c r="AQ183" s="5"/>
      <c r="AR183" s="5"/>
      <c r="CS183" s="5"/>
      <c r="CT183" s="5"/>
      <c r="CU183" s="5"/>
      <c r="CV183" s="5"/>
      <c r="CW183" s="5"/>
      <c r="CX183" s="5"/>
      <c r="CY183" s="5"/>
      <c r="CZ183" s="5"/>
      <c r="DA183" s="5"/>
    </row>
    <row r="184" spans="1:105" x14ac:dyDescent="0.25">
      <c r="A184" s="132"/>
      <c r="B184" s="135"/>
      <c r="C184" s="111"/>
      <c r="D184" s="111"/>
      <c r="E184" s="136"/>
      <c r="F184" s="43"/>
      <c r="Q184" s="121"/>
      <c r="T184" s="121"/>
      <c r="U184" s="121"/>
      <c r="V184" s="121"/>
      <c r="W184" s="121"/>
      <c r="X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K184" s="32"/>
      <c r="AM184" s="5"/>
      <c r="AO184" s="5"/>
      <c r="AP184" s="5"/>
      <c r="AQ184" s="5"/>
      <c r="AR184" s="5"/>
      <c r="CS184" s="5"/>
      <c r="CT184" s="5"/>
      <c r="CU184" s="5"/>
      <c r="CV184" s="5"/>
      <c r="CW184" s="5"/>
      <c r="CX184" s="5"/>
      <c r="CY184" s="5"/>
      <c r="CZ184" s="5"/>
      <c r="DA184" s="5"/>
    </row>
    <row r="185" spans="1:105" x14ac:dyDescent="0.25">
      <c r="A185" s="132"/>
      <c r="B185" s="135"/>
      <c r="C185" s="111"/>
      <c r="D185" s="111"/>
      <c r="E185" s="136"/>
      <c r="F185" s="43"/>
      <c r="Q185" s="121"/>
      <c r="T185" s="121"/>
      <c r="U185" s="121"/>
      <c r="V185" s="121"/>
      <c r="W185" s="121"/>
      <c r="X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K185" s="32"/>
      <c r="AM185" s="5"/>
      <c r="AO185" s="5"/>
      <c r="AP185" s="5"/>
      <c r="AQ185" s="5"/>
      <c r="AR185" s="5"/>
      <c r="CS185" s="5"/>
      <c r="CT185" s="5"/>
      <c r="CU185" s="5"/>
      <c r="CV185" s="5"/>
      <c r="CW185" s="5"/>
      <c r="CX185" s="5"/>
      <c r="CY185" s="5"/>
      <c r="CZ185" s="5"/>
      <c r="DA185" s="5"/>
    </row>
    <row r="186" spans="1:105" x14ac:dyDescent="0.25">
      <c r="A186" s="132"/>
      <c r="B186" s="135"/>
      <c r="C186" s="111"/>
      <c r="D186" s="111"/>
      <c r="E186" s="136"/>
      <c r="F186" s="43"/>
      <c r="Q186" s="121"/>
      <c r="T186" s="121"/>
      <c r="U186" s="121"/>
      <c r="V186" s="121"/>
      <c r="W186" s="121"/>
      <c r="X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K186" s="32"/>
      <c r="AM186" s="5"/>
      <c r="AO186" s="5"/>
      <c r="AP186" s="5"/>
      <c r="AQ186" s="5"/>
      <c r="AR186" s="5"/>
      <c r="CS186" s="5"/>
      <c r="CT186" s="5"/>
      <c r="CU186" s="5"/>
      <c r="CV186" s="5"/>
      <c r="CW186" s="5"/>
      <c r="CX186" s="5"/>
      <c r="CY186" s="5"/>
      <c r="CZ186" s="5"/>
      <c r="DA186" s="5"/>
    </row>
    <row r="187" spans="1:105" x14ac:dyDescent="0.25">
      <c r="A187" s="132"/>
      <c r="B187" s="135"/>
      <c r="C187" s="111"/>
      <c r="D187" s="111"/>
      <c r="E187" s="136"/>
      <c r="F187" s="43"/>
      <c r="Q187" s="121"/>
      <c r="T187" s="121"/>
      <c r="U187" s="121"/>
      <c r="V187" s="121"/>
      <c r="W187" s="121"/>
      <c r="X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K187" s="32"/>
      <c r="AM187" s="5"/>
      <c r="AO187" s="5"/>
      <c r="AP187" s="5"/>
      <c r="AQ187" s="5"/>
      <c r="AR187" s="5"/>
      <c r="CS187" s="5"/>
      <c r="CT187" s="5"/>
      <c r="CU187" s="5"/>
      <c r="CV187" s="5"/>
      <c r="CW187" s="5"/>
      <c r="CX187" s="5"/>
      <c r="CY187" s="5"/>
      <c r="CZ187" s="5"/>
      <c r="DA187" s="5"/>
    </row>
    <row r="188" spans="1:105" x14ac:dyDescent="0.25">
      <c r="A188" s="132"/>
      <c r="B188" s="135"/>
      <c r="C188" s="111"/>
      <c r="D188" s="111"/>
      <c r="E188" s="136"/>
      <c r="F188" s="43"/>
      <c r="Q188" s="121"/>
      <c r="T188" s="121"/>
      <c r="U188" s="121"/>
      <c r="V188" s="121"/>
      <c r="W188" s="121"/>
      <c r="X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K188" s="32"/>
      <c r="AM188" s="5"/>
      <c r="AO188" s="5"/>
      <c r="AP188" s="5"/>
      <c r="AQ188" s="5"/>
      <c r="AR188" s="5"/>
      <c r="CS188" s="5"/>
      <c r="CT188" s="5"/>
      <c r="CU188" s="5"/>
      <c r="CV188" s="5"/>
      <c r="CW188" s="5"/>
      <c r="CX188" s="5"/>
      <c r="CY188" s="5"/>
      <c r="CZ188" s="5"/>
      <c r="DA188" s="5"/>
    </row>
    <row r="189" spans="1:105" x14ac:dyDescent="0.25">
      <c r="A189" s="132"/>
      <c r="B189" s="135"/>
      <c r="C189" s="111"/>
      <c r="D189" s="111"/>
      <c r="E189" s="136"/>
      <c r="F189" s="43"/>
      <c r="Q189" s="121"/>
      <c r="T189" s="121"/>
      <c r="U189" s="121"/>
      <c r="V189" s="121"/>
      <c r="W189" s="121"/>
      <c r="X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K189" s="32"/>
      <c r="AM189" s="5"/>
      <c r="AO189" s="5"/>
      <c r="AP189" s="5"/>
      <c r="AQ189" s="5"/>
      <c r="AR189" s="5"/>
      <c r="CS189" s="5"/>
      <c r="CT189" s="5"/>
      <c r="CU189" s="5"/>
      <c r="CV189" s="5"/>
      <c r="CW189" s="5"/>
      <c r="CX189" s="5"/>
      <c r="CY189" s="5"/>
      <c r="CZ189" s="5"/>
      <c r="DA189" s="5"/>
    </row>
    <row r="190" spans="1:105" x14ac:dyDescent="0.25">
      <c r="A190" s="132"/>
      <c r="B190" s="135"/>
      <c r="C190" s="111"/>
      <c r="D190" s="111"/>
      <c r="E190" s="136"/>
      <c r="F190" s="43"/>
      <c r="Q190" s="121"/>
      <c r="T190" s="121"/>
      <c r="U190" s="121"/>
      <c r="V190" s="121"/>
      <c r="W190" s="121"/>
      <c r="X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K190" s="32"/>
      <c r="AM190" s="5"/>
      <c r="AO190" s="5"/>
      <c r="AP190" s="5"/>
      <c r="AQ190" s="5"/>
      <c r="AR190" s="5"/>
      <c r="CS190" s="5"/>
      <c r="CT190" s="5"/>
      <c r="CU190" s="5"/>
      <c r="CV190" s="5"/>
      <c r="CW190" s="5"/>
      <c r="CX190" s="5"/>
      <c r="CY190" s="5"/>
      <c r="CZ190" s="5"/>
      <c r="DA190" s="5"/>
    </row>
    <row r="191" spans="1:105" x14ac:dyDescent="0.25">
      <c r="A191" s="132"/>
      <c r="B191" s="135"/>
      <c r="C191" s="111"/>
      <c r="D191" s="111"/>
      <c r="E191" s="136"/>
      <c r="F191" s="43"/>
      <c r="Q191" s="121"/>
      <c r="T191" s="121"/>
      <c r="U191" s="121"/>
      <c r="V191" s="121"/>
      <c r="W191" s="121"/>
      <c r="X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K191" s="32"/>
      <c r="AM191" s="5"/>
      <c r="AO191" s="5"/>
      <c r="AP191" s="5"/>
      <c r="AQ191" s="5"/>
      <c r="AR191" s="5"/>
      <c r="CS191" s="5"/>
      <c r="CT191" s="5"/>
      <c r="CU191" s="5"/>
      <c r="CV191" s="5"/>
      <c r="CW191" s="5"/>
      <c r="CX191" s="5"/>
      <c r="CY191" s="5"/>
      <c r="CZ191" s="5"/>
      <c r="DA191" s="5"/>
    </row>
    <row r="192" spans="1:105" x14ac:dyDescent="0.25">
      <c r="A192" s="132"/>
      <c r="B192" s="135"/>
      <c r="C192" s="111"/>
      <c r="D192" s="111"/>
      <c r="E192" s="136"/>
      <c r="F192" s="43"/>
      <c r="Q192" s="121"/>
      <c r="T192" s="121"/>
      <c r="U192" s="121"/>
      <c r="V192" s="121"/>
      <c r="W192" s="121"/>
      <c r="X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K192" s="32"/>
      <c r="AM192" s="5"/>
      <c r="AO192" s="5"/>
      <c r="AP192" s="5"/>
      <c r="AQ192" s="5"/>
      <c r="AR192" s="5"/>
      <c r="CS192" s="5"/>
      <c r="CT192" s="5"/>
      <c r="CU192" s="5"/>
      <c r="CV192" s="5"/>
      <c r="CW192" s="5"/>
      <c r="CX192" s="5"/>
      <c r="CY192" s="5"/>
      <c r="CZ192" s="5"/>
      <c r="DA192" s="5"/>
    </row>
    <row r="193" spans="1:105" x14ac:dyDescent="0.25">
      <c r="A193" s="132"/>
      <c r="B193" s="135"/>
      <c r="C193" s="111"/>
      <c r="D193" s="111"/>
      <c r="E193" s="136"/>
      <c r="F193" s="43"/>
      <c r="Q193" s="121"/>
      <c r="T193" s="121"/>
      <c r="U193" s="121"/>
      <c r="V193" s="121"/>
      <c r="W193" s="121"/>
      <c r="X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K193" s="32"/>
      <c r="AM193" s="5"/>
      <c r="AO193" s="5"/>
      <c r="AP193" s="5"/>
      <c r="AQ193" s="5"/>
      <c r="AR193" s="5"/>
      <c r="CS193" s="5"/>
      <c r="CT193" s="5"/>
      <c r="CU193" s="5"/>
      <c r="CV193" s="5"/>
      <c r="CW193" s="5"/>
      <c r="CX193" s="5"/>
      <c r="CY193" s="5"/>
      <c r="CZ193" s="5"/>
      <c r="DA193" s="5"/>
    </row>
    <row r="194" spans="1:105" x14ac:dyDescent="0.25">
      <c r="A194" s="132"/>
      <c r="B194" s="135"/>
      <c r="C194" s="111"/>
      <c r="D194" s="111"/>
      <c r="E194" s="136"/>
      <c r="F194" s="43"/>
      <c r="Q194" s="121"/>
      <c r="T194" s="121"/>
      <c r="U194" s="121"/>
      <c r="V194" s="121"/>
      <c r="W194" s="121"/>
      <c r="X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K194" s="32"/>
      <c r="AM194" s="5"/>
      <c r="AO194" s="5"/>
      <c r="AP194" s="5"/>
      <c r="AQ194" s="5"/>
      <c r="AR194" s="5"/>
      <c r="CS194" s="5"/>
      <c r="CT194" s="5"/>
      <c r="CU194" s="5"/>
      <c r="CV194" s="5"/>
      <c r="CW194" s="5"/>
      <c r="CX194" s="5"/>
      <c r="CY194" s="5"/>
      <c r="CZ194" s="5"/>
      <c r="DA194" s="5"/>
    </row>
    <row r="195" spans="1:105" x14ac:dyDescent="0.25">
      <c r="A195" s="132"/>
      <c r="B195" s="135"/>
      <c r="C195" s="111"/>
      <c r="D195" s="111"/>
      <c r="E195" s="136"/>
      <c r="F195" s="43"/>
      <c r="Q195" s="121"/>
      <c r="T195" s="121"/>
      <c r="U195" s="121"/>
      <c r="V195" s="121"/>
      <c r="W195" s="121"/>
      <c r="X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K195" s="32"/>
      <c r="AM195" s="5"/>
      <c r="AO195" s="5"/>
      <c r="AP195" s="5"/>
      <c r="AQ195" s="5"/>
      <c r="AR195" s="5"/>
      <c r="CS195" s="5"/>
      <c r="CT195" s="5"/>
      <c r="CU195" s="5"/>
      <c r="CV195" s="5"/>
      <c r="CW195" s="5"/>
      <c r="CX195" s="5"/>
      <c r="CY195" s="5"/>
      <c r="CZ195" s="5"/>
      <c r="DA195" s="5"/>
    </row>
    <row r="196" spans="1:105" x14ac:dyDescent="0.25">
      <c r="A196" s="132"/>
      <c r="B196" s="135"/>
      <c r="C196" s="111"/>
      <c r="D196" s="111"/>
      <c r="E196" s="136"/>
      <c r="F196" s="43"/>
      <c r="Q196" s="121"/>
      <c r="T196" s="121"/>
      <c r="U196" s="121"/>
      <c r="V196" s="121"/>
      <c r="W196" s="121"/>
      <c r="X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K196" s="32"/>
      <c r="AM196" s="5"/>
      <c r="AO196" s="5"/>
      <c r="AP196" s="5"/>
      <c r="AQ196" s="5"/>
      <c r="AR196" s="5"/>
      <c r="CS196" s="5"/>
      <c r="CT196" s="5"/>
      <c r="CU196" s="5"/>
      <c r="CV196" s="5"/>
      <c r="CW196" s="5"/>
      <c r="CX196" s="5"/>
      <c r="CY196" s="5"/>
      <c r="CZ196" s="5"/>
      <c r="DA196" s="5"/>
    </row>
    <row r="197" spans="1:105" x14ac:dyDescent="0.25">
      <c r="A197" s="132"/>
      <c r="B197" s="135"/>
      <c r="C197" s="111"/>
      <c r="D197" s="111"/>
      <c r="E197" s="136"/>
      <c r="F197" s="43"/>
      <c r="Q197" s="121"/>
      <c r="T197" s="121"/>
      <c r="U197" s="121"/>
      <c r="V197" s="121"/>
      <c r="W197" s="121"/>
      <c r="X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K197" s="32"/>
      <c r="AM197" s="5"/>
      <c r="AO197" s="5"/>
      <c r="AP197" s="5"/>
      <c r="AQ197" s="5"/>
      <c r="AR197" s="5"/>
      <c r="CS197" s="5"/>
      <c r="CT197" s="5"/>
      <c r="CU197" s="5"/>
      <c r="CV197" s="5"/>
      <c r="CW197" s="5"/>
      <c r="CX197" s="5"/>
      <c r="CY197" s="5"/>
      <c r="CZ197" s="5"/>
      <c r="DA197" s="5"/>
    </row>
    <row r="198" spans="1:105" x14ac:dyDescent="0.25">
      <c r="A198" s="132"/>
      <c r="B198" s="135"/>
      <c r="C198" s="111"/>
      <c r="D198" s="111"/>
      <c r="E198" s="136"/>
      <c r="F198" s="43"/>
      <c r="Q198" s="121"/>
      <c r="T198" s="121"/>
      <c r="U198" s="121"/>
      <c r="V198" s="121"/>
      <c r="W198" s="121"/>
      <c r="X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K198" s="32"/>
      <c r="AM198" s="5"/>
      <c r="AO198" s="5"/>
      <c r="AP198" s="5"/>
      <c r="AQ198" s="5"/>
      <c r="AR198" s="5"/>
      <c r="CS198" s="5"/>
      <c r="CT198" s="5"/>
      <c r="CU198" s="5"/>
      <c r="CV198" s="5"/>
      <c r="CW198" s="5"/>
      <c r="CX198" s="5"/>
      <c r="CY198" s="5"/>
      <c r="CZ198" s="5"/>
      <c r="DA198" s="5"/>
    </row>
    <row r="199" spans="1:105" x14ac:dyDescent="0.25">
      <c r="A199" s="132"/>
      <c r="B199" s="135"/>
      <c r="C199" s="111"/>
      <c r="D199" s="111"/>
      <c r="E199" s="136"/>
      <c r="F199" s="43"/>
      <c r="Q199" s="121"/>
      <c r="T199" s="121"/>
      <c r="U199" s="121"/>
      <c r="V199" s="121"/>
      <c r="W199" s="121"/>
      <c r="X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K199" s="32"/>
      <c r="AM199" s="5"/>
      <c r="AO199" s="5"/>
      <c r="AP199" s="5"/>
      <c r="AQ199" s="5"/>
      <c r="AR199" s="5"/>
      <c r="CS199" s="5"/>
      <c r="CT199" s="5"/>
      <c r="CU199" s="5"/>
      <c r="CV199" s="5"/>
      <c r="CW199" s="5"/>
      <c r="CX199" s="5"/>
      <c r="CY199" s="5"/>
      <c r="CZ199" s="5"/>
      <c r="DA199" s="5"/>
    </row>
    <row r="200" spans="1:105" x14ac:dyDescent="0.25">
      <c r="A200" s="132"/>
      <c r="B200" s="135"/>
      <c r="C200" s="111"/>
      <c r="D200" s="111"/>
      <c r="E200" s="136"/>
      <c r="F200" s="43"/>
      <c r="Q200" s="121"/>
      <c r="T200" s="121"/>
      <c r="U200" s="121"/>
      <c r="V200" s="121"/>
      <c r="W200" s="121"/>
      <c r="X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K200" s="32"/>
      <c r="AM200" s="5"/>
      <c r="AO200" s="5"/>
      <c r="AP200" s="5"/>
      <c r="AQ200" s="5"/>
      <c r="AR200" s="5"/>
      <c r="CS200" s="5"/>
      <c r="CT200" s="5"/>
      <c r="CU200" s="5"/>
      <c r="CV200" s="5"/>
      <c r="CW200" s="5"/>
      <c r="CX200" s="5"/>
      <c r="CY200" s="5"/>
      <c r="CZ200" s="5"/>
      <c r="DA200" s="5"/>
    </row>
    <row r="201" spans="1:105" x14ac:dyDescent="0.25">
      <c r="A201" s="132"/>
      <c r="B201" s="135"/>
      <c r="C201" s="111"/>
      <c r="D201" s="111"/>
      <c r="E201" s="136"/>
      <c r="F201" s="43"/>
      <c r="Q201" s="121"/>
      <c r="T201" s="121"/>
      <c r="U201" s="121"/>
      <c r="V201" s="121"/>
      <c r="W201" s="121"/>
      <c r="X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K201" s="32"/>
      <c r="AM201" s="5"/>
      <c r="AO201" s="5"/>
      <c r="AP201" s="5"/>
      <c r="AQ201" s="5"/>
      <c r="AR201" s="5"/>
      <c r="CS201" s="5"/>
      <c r="CT201" s="5"/>
      <c r="CU201" s="5"/>
      <c r="CV201" s="5"/>
      <c r="CW201" s="5"/>
      <c r="CX201" s="5"/>
      <c r="CY201" s="5"/>
      <c r="CZ201" s="5"/>
      <c r="DA201" s="5"/>
    </row>
    <row r="202" spans="1:105" x14ac:dyDescent="0.25">
      <c r="A202" s="132"/>
      <c r="B202" s="135"/>
      <c r="C202" s="111"/>
      <c r="D202" s="111"/>
      <c r="E202" s="136"/>
      <c r="F202" s="43"/>
      <c r="Q202" s="121"/>
      <c r="T202" s="121"/>
      <c r="U202" s="121"/>
      <c r="V202" s="121"/>
      <c r="W202" s="121"/>
      <c r="X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K202" s="32"/>
      <c r="AM202" s="5"/>
      <c r="AO202" s="5"/>
      <c r="AP202" s="5"/>
      <c r="AQ202" s="5"/>
      <c r="AR202" s="5"/>
      <c r="CS202" s="5"/>
      <c r="CT202" s="5"/>
      <c r="CU202" s="5"/>
      <c r="CV202" s="5"/>
      <c r="CW202" s="5"/>
      <c r="CX202" s="5"/>
      <c r="CY202" s="5"/>
      <c r="CZ202" s="5"/>
      <c r="DA202" s="5"/>
    </row>
    <row r="203" spans="1:105" x14ac:dyDescent="0.25">
      <c r="A203" s="132"/>
      <c r="B203" s="135"/>
      <c r="C203" s="111"/>
      <c r="D203" s="111"/>
      <c r="E203" s="136"/>
      <c r="F203" s="43"/>
      <c r="Q203" s="121"/>
      <c r="T203" s="121"/>
      <c r="U203" s="121"/>
      <c r="V203" s="121"/>
      <c r="W203" s="121"/>
      <c r="X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K203" s="32"/>
      <c r="AM203" s="5"/>
      <c r="AO203" s="5"/>
      <c r="AP203" s="5"/>
      <c r="AQ203" s="5"/>
      <c r="AR203" s="5"/>
      <c r="CS203" s="5"/>
      <c r="CT203" s="5"/>
      <c r="CU203" s="5"/>
      <c r="CV203" s="5"/>
      <c r="CW203" s="5"/>
      <c r="CX203" s="5"/>
      <c r="CY203" s="5"/>
      <c r="CZ203" s="5"/>
      <c r="DA203" s="5"/>
    </row>
    <row r="204" spans="1:105" x14ac:dyDescent="0.25">
      <c r="A204" s="132"/>
      <c r="B204" s="135"/>
      <c r="C204" s="111"/>
      <c r="D204" s="111"/>
      <c r="E204" s="136"/>
      <c r="F204" s="43"/>
      <c r="Q204" s="121"/>
      <c r="T204" s="121"/>
      <c r="U204" s="121"/>
      <c r="V204" s="121"/>
      <c r="W204" s="121"/>
      <c r="X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K204" s="32"/>
      <c r="AM204" s="5"/>
      <c r="AO204" s="5"/>
      <c r="AP204" s="5"/>
      <c r="AQ204" s="5"/>
      <c r="AR204" s="5"/>
      <c r="CS204" s="5"/>
      <c r="CT204" s="5"/>
      <c r="CU204" s="5"/>
      <c r="CV204" s="5"/>
      <c r="CW204" s="5"/>
      <c r="CX204" s="5"/>
      <c r="CY204" s="5"/>
      <c r="CZ204" s="5"/>
      <c r="DA204" s="5"/>
    </row>
    <row r="205" spans="1:105" x14ac:dyDescent="0.25">
      <c r="A205" s="132"/>
      <c r="B205" s="135"/>
      <c r="C205" s="111"/>
      <c r="D205" s="111"/>
      <c r="E205" s="136"/>
      <c r="F205" s="43"/>
      <c r="Q205" s="121"/>
      <c r="T205" s="121"/>
      <c r="U205" s="121"/>
      <c r="V205" s="121"/>
      <c r="W205" s="121"/>
      <c r="X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K205" s="32"/>
      <c r="AM205" s="5"/>
      <c r="AO205" s="5"/>
      <c r="AP205" s="5"/>
      <c r="AQ205" s="5"/>
      <c r="AR205" s="5"/>
      <c r="CS205" s="5"/>
      <c r="CT205" s="5"/>
      <c r="CU205" s="5"/>
      <c r="CV205" s="5"/>
      <c r="CW205" s="5"/>
      <c r="CX205" s="5"/>
      <c r="CY205" s="5"/>
      <c r="CZ205" s="5"/>
      <c r="DA205" s="5"/>
    </row>
    <row r="206" spans="1:105" x14ac:dyDescent="0.25">
      <c r="A206" s="132"/>
      <c r="B206" s="135"/>
      <c r="C206" s="111"/>
      <c r="D206" s="111"/>
      <c r="E206" s="136"/>
      <c r="F206" s="43"/>
      <c r="Q206" s="121"/>
      <c r="T206" s="121"/>
      <c r="U206" s="121"/>
      <c r="V206" s="121"/>
      <c r="W206" s="121"/>
      <c r="X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K206" s="32"/>
      <c r="AM206" s="5"/>
      <c r="AO206" s="5"/>
      <c r="AP206" s="5"/>
      <c r="AQ206" s="5"/>
      <c r="AR206" s="5"/>
      <c r="CS206" s="5"/>
      <c r="CT206" s="5"/>
      <c r="CU206" s="5"/>
      <c r="CV206" s="5"/>
      <c r="CW206" s="5"/>
      <c r="CX206" s="5"/>
      <c r="CY206" s="5"/>
      <c r="CZ206" s="5"/>
      <c r="DA206" s="5"/>
    </row>
    <row r="207" spans="1:105" x14ac:dyDescent="0.25">
      <c r="A207" s="132"/>
      <c r="B207" s="135"/>
      <c r="C207" s="111"/>
      <c r="D207" s="111"/>
      <c r="E207" s="136"/>
      <c r="F207" s="43"/>
      <c r="Q207" s="121"/>
      <c r="T207" s="121"/>
      <c r="U207" s="121"/>
      <c r="V207" s="121"/>
      <c r="W207" s="121"/>
      <c r="X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K207" s="32"/>
      <c r="AM207" s="5"/>
      <c r="AO207" s="5"/>
      <c r="AP207" s="5"/>
      <c r="AQ207" s="5"/>
      <c r="AR207" s="5"/>
      <c r="CS207" s="5"/>
      <c r="CT207" s="5"/>
      <c r="CU207" s="5"/>
      <c r="CV207" s="5"/>
      <c r="CW207" s="5"/>
      <c r="CX207" s="5"/>
      <c r="CY207" s="5"/>
      <c r="CZ207" s="5"/>
      <c r="DA207" s="5"/>
    </row>
    <row r="208" spans="1:105" x14ac:dyDescent="0.25">
      <c r="A208" s="132"/>
      <c r="B208" s="135"/>
      <c r="C208" s="111"/>
      <c r="D208" s="111"/>
      <c r="E208" s="136"/>
      <c r="F208" s="43"/>
      <c r="Q208" s="121"/>
      <c r="T208" s="121"/>
      <c r="U208" s="121"/>
      <c r="V208" s="121"/>
      <c r="W208" s="121"/>
      <c r="X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K208" s="32"/>
      <c r="AM208" s="5"/>
      <c r="AO208" s="5"/>
      <c r="AP208" s="5"/>
      <c r="AQ208" s="5"/>
      <c r="AR208" s="5"/>
      <c r="CS208" s="5"/>
      <c r="CT208" s="5"/>
      <c r="CU208" s="5"/>
      <c r="CV208" s="5"/>
      <c r="CW208" s="5"/>
      <c r="CX208" s="5"/>
      <c r="CY208" s="5"/>
      <c r="CZ208" s="5"/>
      <c r="DA208" s="5"/>
    </row>
    <row r="209" spans="1:105" x14ac:dyDescent="0.25">
      <c r="A209" s="132"/>
      <c r="B209" s="135"/>
      <c r="C209" s="111"/>
      <c r="D209" s="111"/>
      <c r="E209" s="136"/>
      <c r="F209" s="43"/>
      <c r="Q209" s="121"/>
      <c r="T209" s="121"/>
      <c r="U209" s="121"/>
      <c r="V209" s="121"/>
      <c r="W209" s="121"/>
      <c r="X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K209" s="32"/>
      <c r="AM209" s="5"/>
      <c r="AO209" s="5"/>
      <c r="AP209" s="5"/>
      <c r="AQ209" s="5"/>
      <c r="AR209" s="5"/>
      <c r="CS209" s="5"/>
      <c r="CT209" s="5"/>
      <c r="CU209" s="5"/>
      <c r="CV209" s="5"/>
      <c r="CW209" s="5"/>
      <c r="CX209" s="5"/>
      <c r="CY209" s="5"/>
      <c r="CZ209" s="5"/>
      <c r="DA209" s="5"/>
    </row>
    <row r="210" spans="1:105" x14ac:dyDescent="0.25">
      <c r="A210" s="132"/>
      <c r="B210" s="135"/>
      <c r="C210" s="111"/>
      <c r="D210" s="111"/>
      <c r="E210" s="136"/>
      <c r="F210" s="43"/>
      <c r="Q210" s="121"/>
      <c r="T210" s="121"/>
      <c r="U210" s="121"/>
      <c r="V210" s="121"/>
      <c r="W210" s="121"/>
      <c r="X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K210" s="32"/>
      <c r="AM210" s="5"/>
      <c r="AO210" s="5"/>
      <c r="AP210" s="5"/>
      <c r="AQ210" s="5"/>
      <c r="AR210" s="5"/>
      <c r="CS210" s="5"/>
      <c r="CT210" s="5"/>
      <c r="CU210" s="5"/>
      <c r="CV210" s="5"/>
      <c r="CW210" s="5"/>
      <c r="CX210" s="5"/>
      <c r="CY210" s="5"/>
      <c r="CZ210" s="5"/>
      <c r="DA210" s="5"/>
    </row>
    <row r="211" spans="1:105" x14ac:dyDescent="0.25">
      <c r="A211" s="132"/>
      <c r="B211" s="135"/>
      <c r="C211" s="111"/>
      <c r="D211" s="111"/>
      <c r="E211" s="136"/>
      <c r="F211" s="43"/>
      <c r="Q211" s="121"/>
      <c r="T211" s="121"/>
      <c r="U211" s="121"/>
      <c r="V211" s="121"/>
      <c r="W211" s="121"/>
      <c r="X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K211" s="32"/>
      <c r="AM211" s="5"/>
      <c r="AO211" s="5"/>
      <c r="AP211" s="5"/>
      <c r="AQ211" s="5"/>
      <c r="AR211" s="5"/>
      <c r="CS211" s="5"/>
      <c r="CT211" s="5"/>
      <c r="CU211" s="5"/>
      <c r="CV211" s="5"/>
      <c r="CW211" s="5"/>
      <c r="CX211" s="5"/>
      <c r="CY211" s="5"/>
      <c r="CZ211" s="5"/>
      <c r="DA211" s="5"/>
    </row>
    <row r="212" spans="1:105" x14ac:dyDescent="0.25">
      <c r="A212" s="132"/>
      <c r="B212" s="135"/>
      <c r="C212" s="111"/>
      <c r="D212" s="111"/>
      <c r="E212" s="136"/>
      <c r="F212" s="43"/>
      <c r="Q212" s="121"/>
      <c r="T212" s="121"/>
      <c r="U212" s="121"/>
      <c r="V212" s="121"/>
      <c r="W212" s="121"/>
      <c r="X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K212" s="32"/>
      <c r="AM212" s="5"/>
      <c r="AO212" s="5"/>
      <c r="AP212" s="5"/>
      <c r="AQ212" s="5"/>
      <c r="AR212" s="5"/>
      <c r="CS212" s="5"/>
      <c r="CT212" s="5"/>
      <c r="CU212" s="5"/>
      <c r="CV212" s="5"/>
      <c r="CW212" s="5"/>
      <c r="CX212" s="5"/>
      <c r="CY212" s="5"/>
      <c r="CZ212" s="5"/>
      <c r="DA212" s="5"/>
    </row>
    <row r="213" spans="1:105" x14ac:dyDescent="0.25">
      <c r="A213" s="132"/>
      <c r="B213" s="135"/>
      <c r="C213" s="111"/>
      <c r="D213" s="111"/>
      <c r="E213" s="136"/>
      <c r="F213" s="43"/>
      <c r="Q213" s="121"/>
      <c r="T213" s="121"/>
      <c r="U213" s="121"/>
      <c r="V213" s="121"/>
      <c r="W213" s="121"/>
      <c r="X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K213" s="32"/>
      <c r="AM213" s="5"/>
      <c r="AO213" s="5"/>
      <c r="AP213" s="5"/>
      <c r="AQ213" s="5"/>
      <c r="AR213" s="5"/>
      <c r="CS213" s="5"/>
      <c r="CT213" s="5"/>
      <c r="CU213" s="5"/>
      <c r="CV213" s="5"/>
      <c r="CW213" s="5"/>
      <c r="CX213" s="5"/>
      <c r="CY213" s="5"/>
      <c r="CZ213" s="5"/>
      <c r="DA213" s="5"/>
    </row>
    <row r="214" spans="1:105" x14ac:dyDescent="0.25">
      <c r="A214" s="132"/>
      <c r="B214" s="135"/>
      <c r="C214" s="111"/>
      <c r="D214" s="111"/>
      <c r="E214" s="136"/>
      <c r="F214" s="43"/>
      <c r="Q214" s="121"/>
      <c r="T214" s="121"/>
      <c r="U214" s="121"/>
      <c r="V214" s="121"/>
      <c r="W214" s="121"/>
      <c r="X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K214" s="32"/>
      <c r="AM214" s="5"/>
      <c r="AO214" s="5"/>
      <c r="AP214" s="5"/>
      <c r="AQ214" s="5"/>
      <c r="AR214" s="5"/>
      <c r="CS214" s="5"/>
      <c r="CT214" s="5"/>
      <c r="CU214" s="5"/>
      <c r="CV214" s="5"/>
      <c r="CW214" s="5"/>
      <c r="CX214" s="5"/>
      <c r="CY214" s="5"/>
      <c r="CZ214" s="5"/>
      <c r="DA214" s="5"/>
    </row>
    <row r="215" spans="1:105" x14ac:dyDescent="0.25">
      <c r="A215" s="132"/>
      <c r="B215" s="135"/>
      <c r="C215" s="111"/>
      <c r="D215" s="111"/>
      <c r="E215" s="136"/>
      <c r="F215" s="43"/>
      <c r="Q215" s="121"/>
      <c r="T215" s="121"/>
      <c r="U215" s="121"/>
      <c r="V215" s="121"/>
      <c r="W215" s="121"/>
      <c r="X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K215" s="32"/>
      <c r="AM215" s="5"/>
      <c r="AO215" s="5"/>
      <c r="AP215" s="5"/>
      <c r="AQ215" s="5"/>
      <c r="AR215" s="5"/>
      <c r="CS215" s="5"/>
      <c r="CT215" s="5"/>
      <c r="CU215" s="5"/>
      <c r="CV215" s="5"/>
      <c r="CW215" s="5"/>
      <c r="CX215" s="5"/>
      <c r="CY215" s="5"/>
      <c r="CZ215" s="5"/>
      <c r="DA215" s="5"/>
    </row>
    <row r="216" spans="1:105" x14ac:dyDescent="0.25">
      <c r="A216" s="132"/>
      <c r="B216" s="135"/>
      <c r="C216" s="111"/>
      <c r="D216" s="111"/>
      <c r="E216" s="136"/>
      <c r="F216" s="43"/>
      <c r="Q216" s="121"/>
      <c r="T216" s="121"/>
      <c r="U216" s="121"/>
      <c r="V216" s="121"/>
      <c r="W216" s="121"/>
      <c r="X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K216" s="32"/>
      <c r="AM216" s="5"/>
      <c r="AO216" s="5"/>
      <c r="AP216" s="5"/>
      <c r="AQ216" s="5"/>
      <c r="AR216" s="5"/>
      <c r="CS216" s="5"/>
      <c r="CT216" s="5"/>
      <c r="CU216" s="5"/>
      <c r="CV216" s="5"/>
      <c r="CW216" s="5"/>
      <c r="CX216" s="5"/>
      <c r="CY216" s="5"/>
      <c r="CZ216" s="5"/>
      <c r="DA216" s="5"/>
    </row>
    <row r="217" spans="1:105" x14ac:dyDescent="0.25">
      <c r="A217" s="132"/>
      <c r="B217" s="135"/>
      <c r="C217" s="111"/>
      <c r="D217" s="111"/>
      <c r="E217" s="136"/>
      <c r="F217" s="43"/>
      <c r="Q217" s="121"/>
      <c r="T217" s="121"/>
      <c r="U217" s="121"/>
      <c r="V217" s="121"/>
      <c r="W217" s="121"/>
      <c r="X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K217" s="32"/>
      <c r="AM217" s="5"/>
      <c r="AO217" s="5"/>
      <c r="AP217" s="5"/>
      <c r="AQ217" s="5"/>
      <c r="AR217" s="5"/>
      <c r="CS217" s="5"/>
      <c r="CT217" s="5"/>
      <c r="CU217" s="5"/>
      <c r="CV217" s="5"/>
      <c r="CW217" s="5"/>
      <c r="CX217" s="5"/>
      <c r="CY217" s="5"/>
      <c r="CZ217" s="5"/>
      <c r="DA217" s="5"/>
    </row>
    <row r="218" spans="1:105" x14ac:dyDescent="0.25">
      <c r="A218" s="132"/>
      <c r="B218" s="135"/>
      <c r="C218" s="111"/>
      <c r="D218" s="111"/>
      <c r="E218" s="136"/>
      <c r="F218" s="43"/>
      <c r="Q218" s="121"/>
      <c r="T218" s="121"/>
      <c r="U218" s="121"/>
      <c r="V218" s="121"/>
      <c r="W218" s="121"/>
      <c r="X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K218" s="32"/>
      <c r="AM218" s="5"/>
      <c r="AO218" s="5"/>
      <c r="AP218" s="5"/>
      <c r="AQ218" s="5"/>
      <c r="AR218" s="5"/>
      <c r="CS218" s="5"/>
      <c r="CT218" s="5"/>
      <c r="CU218" s="5"/>
      <c r="CV218" s="5"/>
      <c r="CW218" s="5"/>
      <c r="CX218" s="5"/>
      <c r="CY218" s="5"/>
      <c r="CZ218" s="5"/>
      <c r="DA218" s="5"/>
    </row>
    <row r="219" spans="1:105" x14ac:dyDescent="0.25">
      <c r="A219" s="132"/>
      <c r="B219" s="135"/>
      <c r="C219" s="111"/>
      <c r="D219" s="111"/>
      <c r="E219" s="136"/>
      <c r="F219" s="43"/>
      <c r="Q219" s="121"/>
      <c r="T219" s="121"/>
      <c r="U219" s="121"/>
      <c r="V219" s="121"/>
      <c r="W219" s="121"/>
      <c r="X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K219" s="32"/>
      <c r="AM219" s="5"/>
      <c r="AO219" s="5"/>
      <c r="AP219" s="5"/>
      <c r="AQ219" s="5"/>
      <c r="AR219" s="5"/>
      <c r="CS219" s="5"/>
      <c r="CT219" s="5"/>
      <c r="CU219" s="5"/>
      <c r="CV219" s="5"/>
      <c r="CW219" s="5"/>
      <c r="CX219" s="5"/>
      <c r="CY219" s="5"/>
      <c r="CZ219" s="5"/>
      <c r="DA219" s="5"/>
    </row>
    <row r="220" spans="1:105" x14ac:dyDescent="0.25">
      <c r="A220" s="132"/>
      <c r="B220" s="135"/>
      <c r="C220" s="111"/>
      <c r="D220" s="111"/>
      <c r="E220" s="136"/>
      <c r="F220" s="43"/>
      <c r="Q220" s="121"/>
      <c r="T220" s="121"/>
      <c r="U220" s="121"/>
      <c r="V220" s="121"/>
      <c r="W220" s="121"/>
      <c r="X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K220" s="32"/>
      <c r="AM220" s="5"/>
      <c r="AO220" s="5"/>
      <c r="AP220" s="5"/>
      <c r="AQ220" s="5"/>
      <c r="AR220" s="5"/>
      <c r="CS220" s="5"/>
      <c r="CT220" s="5"/>
      <c r="CU220" s="5"/>
      <c r="CV220" s="5"/>
      <c r="CW220" s="5"/>
      <c r="CX220" s="5"/>
      <c r="CY220" s="5"/>
      <c r="CZ220" s="5"/>
      <c r="DA220" s="5"/>
    </row>
    <row r="221" spans="1:105" x14ac:dyDescent="0.25">
      <c r="A221" s="132"/>
      <c r="B221" s="135"/>
      <c r="C221" s="111"/>
      <c r="D221" s="111"/>
      <c r="E221" s="136"/>
      <c r="F221" s="43"/>
      <c r="Q221" s="121"/>
      <c r="T221" s="121"/>
      <c r="U221" s="121"/>
      <c r="V221" s="121"/>
      <c r="W221" s="121"/>
      <c r="X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K221" s="32"/>
      <c r="AM221" s="5"/>
      <c r="AO221" s="5"/>
      <c r="AP221" s="5"/>
      <c r="AQ221" s="5"/>
      <c r="AR221" s="5"/>
      <c r="CS221" s="5"/>
      <c r="CT221" s="5"/>
      <c r="CU221" s="5"/>
      <c r="CV221" s="5"/>
      <c r="CW221" s="5"/>
      <c r="CX221" s="5"/>
      <c r="CY221" s="5"/>
      <c r="CZ221" s="5"/>
      <c r="DA221" s="5"/>
    </row>
    <row r="222" spans="1:105" x14ac:dyDescent="0.25">
      <c r="A222" s="132"/>
      <c r="B222" s="135"/>
      <c r="C222" s="111"/>
      <c r="D222" s="111"/>
      <c r="E222" s="136"/>
      <c r="F222" s="43"/>
      <c r="Q222" s="121"/>
      <c r="T222" s="121"/>
      <c r="U222" s="121"/>
      <c r="V222" s="121"/>
      <c r="W222" s="121"/>
      <c r="X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K222" s="32"/>
      <c r="AM222" s="5"/>
      <c r="AO222" s="5"/>
      <c r="AP222" s="5"/>
      <c r="AQ222" s="5"/>
      <c r="AR222" s="5"/>
      <c r="CS222" s="5"/>
      <c r="CT222" s="5"/>
      <c r="CU222" s="5"/>
      <c r="CV222" s="5"/>
      <c r="CW222" s="5"/>
      <c r="CX222" s="5"/>
      <c r="CY222" s="5"/>
      <c r="CZ222" s="5"/>
      <c r="DA222" s="5"/>
    </row>
    <row r="223" spans="1:105" x14ac:dyDescent="0.25">
      <c r="A223" s="132"/>
      <c r="B223" s="135"/>
      <c r="C223" s="111"/>
      <c r="D223" s="111"/>
      <c r="E223" s="136"/>
      <c r="F223" s="43"/>
      <c r="Q223" s="121"/>
      <c r="T223" s="121"/>
      <c r="U223" s="121"/>
      <c r="V223" s="121"/>
      <c r="W223" s="121"/>
      <c r="X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K223" s="32"/>
      <c r="AM223" s="5"/>
      <c r="AO223" s="5"/>
      <c r="AP223" s="5"/>
      <c r="AQ223" s="5"/>
      <c r="AR223" s="5"/>
      <c r="CS223" s="5"/>
      <c r="CT223" s="5"/>
      <c r="CU223" s="5"/>
      <c r="CV223" s="5"/>
      <c r="CW223" s="5"/>
      <c r="CX223" s="5"/>
      <c r="CY223" s="5"/>
      <c r="CZ223" s="5"/>
      <c r="DA223" s="5"/>
    </row>
    <row r="224" spans="1:105" x14ac:dyDescent="0.25">
      <c r="A224" s="132"/>
      <c r="B224" s="135"/>
      <c r="C224" s="111"/>
      <c r="D224" s="111"/>
      <c r="E224" s="136"/>
      <c r="F224" s="43"/>
      <c r="Q224" s="121"/>
      <c r="T224" s="121"/>
      <c r="U224" s="121"/>
      <c r="V224" s="121"/>
      <c r="W224" s="121"/>
      <c r="X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K224" s="32"/>
      <c r="AM224" s="5"/>
      <c r="AO224" s="5"/>
      <c r="AP224" s="5"/>
      <c r="AQ224" s="5"/>
      <c r="AR224" s="5"/>
      <c r="CS224" s="5"/>
      <c r="CT224" s="5"/>
      <c r="CU224" s="5"/>
      <c r="CV224" s="5"/>
      <c r="CW224" s="5"/>
      <c r="CX224" s="5"/>
      <c r="CY224" s="5"/>
      <c r="CZ224" s="5"/>
      <c r="DA224" s="5"/>
    </row>
    <row r="225" spans="1:105" x14ac:dyDescent="0.25">
      <c r="A225" s="132"/>
      <c r="B225" s="135"/>
      <c r="C225" s="111"/>
      <c r="D225" s="111"/>
      <c r="E225" s="136"/>
      <c r="F225" s="43"/>
      <c r="Q225" s="121"/>
      <c r="T225" s="121"/>
      <c r="U225" s="121"/>
      <c r="V225" s="121"/>
      <c r="W225" s="121"/>
      <c r="X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K225" s="32"/>
      <c r="AM225" s="5"/>
      <c r="AO225" s="5"/>
      <c r="AP225" s="5"/>
      <c r="AQ225" s="5"/>
      <c r="AR225" s="5"/>
      <c r="CS225" s="5"/>
      <c r="CT225" s="5"/>
      <c r="CU225" s="5"/>
      <c r="CV225" s="5"/>
      <c r="CW225" s="5"/>
      <c r="CX225" s="5"/>
      <c r="CY225" s="5"/>
      <c r="CZ225" s="5"/>
      <c r="DA225" s="5"/>
    </row>
    <row r="226" spans="1:105" x14ac:dyDescent="0.25">
      <c r="A226" s="132"/>
      <c r="B226" s="135"/>
      <c r="C226" s="111"/>
      <c r="D226" s="111"/>
      <c r="E226" s="136"/>
      <c r="F226" s="43"/>
      <c r="Q226" s="121"/>
      <c r="T226" s="121"/>
      <c r="U226" s="121"/>
      <c r="V226" s="121"/>
      <c r="W226" s="121"/>
      <c r="X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K226" s="32"/>
      <c r="AM226" s="5"/>
      <c r="AO226" s="5"/>
      <c r="AP226" s="5"/>
      <c r="AQ226" s="5"/>
      <c r="AR226" s="5"/>
      <c r="CS226" s="5"/>
      <c r="CT226" s="5"/>
      <c r="CU226" s="5"/>
      <c r="CV226" s="5"/>
      <c r="CW226" s="5"/>
      <c r="CX226" s="5"/>
      <c r="CY226" s="5"/>
      <c r="CZ226" s="5"/>
      <c r="DA226" s="5"/>
    </row>
    <row r="227" spans="1:105" x14ac:dyDescent="0.25">
      <c r="A227" s="132"/>
      <c r="B227" s="135"/>
      <c r="C227" s="111"/>
      <c r="D227" s="111"/>
      <c r="E227" s="136"/>
      <c r="F227" s="43"/>
      <c r="Q227" s="121"/>
      <c r="T227" s="121"/>
      <c r="U227" s="121"/>
      <c r="V227" s="121"/>
      <c r="W227" s="121"/>
      <c r="X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K227" s="32"/>
      <c r="AM227" s="5"/>
      <c r="AO227" s="5"/>
      <c r="AP227" s="5"/>
      <c r="AQ227" s="5"/>
      <c r="AR227" s="5"/>
      <c r="CS227" s="5"/>
      <c r="CT227" s="5"/>
      <c r="CU227" s="5"/>
      <c r="CV227" s="5"/>
      <c r="CW227" s="5"/>
      <c r="CX227" s="5"/>
      <c r="CY227" s="5"/>
      <c r="CZ227" s="5"/>
      <c r="DA227" s="5"/>
    </row>
    <row r="228" spans="1:105" x14ac:dyDescent="0.25">
      <c r="A228" s="132"/>
      <c r="B228" s="135"/>
      <c r="C228" s="111"/>
      <c r="D228" s="111"/>
      <c r="E228" s="136"/>
      <c r="F228" s="43"/>
      <c r="Q228" s="121"/>
      <c r="T228" s="121"/>
      <c r="U228" s="121"/>
      <c r="V228" s="121"/>
      <c r="W228" s="121"/>
      <c r="X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K228" s="32"/>
      <c r="AM228" s="5"/>
      <c r="AO228" s="5"/>
      <c r="AP228" s="5"/>
      <c r="AQ228" s="5"/>
      <c r="AR228" s="5"/>
      <c r="CS228" s="5"/>
      <c r="CT228" s="5"/>
      <c r="CU228" s="5"/>
      <c r="CV228" s="5"/>
      <c r="CW228" s="5"/>
      <c r="CX228" s="5"/>
      <c r="CY228" s="5"/>
      <c r="CZ228" s="5"/>
      <c r="DA228" s="5"/>
    </row>
    <row r="229" spans="1:105" x14ac:dyDescent="0.25">
      <c r="A229" s="132"/>
      <c r="B229" s="135"/>
      <c r="C229" s="111"/>
      <c r="D229" s="111"/>
      <c r="E229" s="136"/>
      <c r="F229" s="43"/>
      <c r="Q229" s="121"/>
      <c r="T229" s="121"/>
      <c r="U229" s="121"/>
      <c r="V229" s="121"/>
      <c r="W229" s="121"/>
      <c r="X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K229" s="32"/>
      <c r="AM229" s="5"/>
      <c r="AO229" s="5"/>
      <c r="AP229" s="5"/>
      <c r="AQ229" s="5"/>
      <c r="AR229" s="5"/>
      <c r="CS229" s="5"/>
      <c r="CT229" s="5"/>
      <c r="CU229" s="5"/>
      <c r="CV229" s="5"/>
      <c r="CW229" s="5"/>
      <c r="CX229" s="5"/>
      <c r="CY229" s="5"/>
      <c r="CZ229" s="5"/>
      <c r="DA229" s="5"/>
    </row>
    <row r="230" spans="1:105" x14ac:dyDescent="0.25">
      <c r="A230" s="132"/>
      <c r="B230" s="135"/>
      <c r="C230" s="111"/>
      <c r="D230" s="111"/>
      <c r="E230" s="136"/>
      <c r="F230" s="43"/>
      <c r="Q230" s="121"/>
      <c r="T230" s="121"/>
      <c r="U230" s="121"/>
      <c r="V230" s="121"/>
      <c r="W230" s="121"/>
      <c r="X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K230" s="32"/>
      <c r="AM230" s="5"/>
      <c r="AO230" s="5"/>
      <c r="AP230" s="5"/>
      <c r="AQ230" s="5"/>
      <c r="AR230" s="5"/>
      <c r="CS230" s="5"/>
      <c r="CT230" s="5"/>
      <c r="CU230" s="5"/>
      <c r="CV230" s="5"/>
      <c r="CW230" s="5"/>
      <c r="CX230" s="5"/>
      <c r="CY230" s="5"/>
      <c r="CZ230" s="5"/>
      <c r="DA230" s="5"/>
    </row>
    <row r="231" spans="1:105" x14ac:dyDescent="0.25">
      <c r="A231" s="132"/>
      <c r="B231" s="135"/>
      <c r="C231" s="111"/>
      <c r="D231" s="111"/>
      <c r="E231" s="136"/>
      <c r="F231" s="43"/>
      <c r="Q231" s="121"/>
      <c r="T231" s="121"/>
      <c r="U231" s="121"/>
      <c r="V231" s="121"/>
      <c r="W231" s="121"/>
      <c r="X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K231" s="32"/>
      <c r="AM231" s="5"/>
      <c r="AO231" s="5"/>
      <c r="AP231" s="5"/>
      <c r="AQ231" s="5"/>
      <c r="AR231" s="5"/>
      <c r="CS231" s="5"/>
      <c r="CT231" s="5"/>
      <c r="CU231" s="5"/>
      <c r="CV231" s="5"/>
      <c r="CW231" s="5"/>
      <c r="CX231" s="5"/>
      <c r="CY231" s="5"/>
      <c r="CZ231" s="5"/>
      <c r="DA231" s="5"/>
    </row>
    <row r="232" spans="1:105" x14ac:dyDescent="0.25">
      <c r="A232" s="132"/>
      <c r="B232" s="135"/>
      <c r="C232" s="111"/>
      <c r="D232" s="111"/>
      <c r="E232" s="136"/>
      <c r="F232" s="43"/>
      <c r="Q232" s="121"/>
      <c r="T232" s="121"/>
      <c r="U232" s="121"/>
      <c r="V232" s="121"/>
      <c r="W232" s="121"/>
      <c r="X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K232" s="32"/>
      <c r="AM232" s="5"/>
      <c r="AO232" s="5"/>
      <c r="AP232" s="5"/>
      <c r="AQ232" s="5"/>
      <c r="AR232" s="5"/>
      <c r="CS232" s="5"/>
      <c r="CT232" s="5"/>
      <c r="CU232" s="5"/>
      <c r="CV232" s="5"/>
      <c r="CW232" s="5"/>
      <c r="CX232" s="5"/>
      <c r="CY232" s="5"/>
      <c r="CZ232" s="5"/>
      <c r="DA232" s="5"/>
    </row>
    <row r="233" spans="1:105" x14ac:dyDescent="0.25">
      <c r="A233" s="132"/>
      <c r="B233" s="135"/>
      <c r="C233" s="111"/>
      <c r="D233" s="111"/>
      <c r="E233" s="136"/>
      <c r="F233" s="43"/>
      <c r="Q233" s="121"/>
      <c r="T233" s="121"/>
      <c r="U233" s="121"/>
      <c r="V233" s="121"/>
      <c r="W233" s="121"/>
      <c r="X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K233" s="32"/>
      <c r="AM233" s="5"/>
      <c r="AO233" s="5"/>
      <c r="AP233" s="5"/>
      <c r="AQ233" s="5"/>
      <c r="AR233" s="5"/>
      <c r="CS233" s="5"/>
      <c r="CT233" s="5"/>
      <c r="CU233" s="5"/>
      <c r="CV233" s="5"/>
      <c r="CW233" s="5"/>
      <c r="CX233" s="5"/>
      <c r="CY233" s="5"/>
      <c r="CZ233" s="5"/>
      <c r="DA233" s="5"/>
    </row>
    <row r="234" spans="1:105" x14ac:dyDescent="0.25">
      <c r="A234" s="132"/>
      <c r="B234" s="135"/>
      <c r="C234" s="111"/>
      <c r="D234" s="111"/>
      <c r="E234" s="136"/>
      <c r="F234" s="43"/>
      <c r="Q234" s="121"/>
      <c r="T234" s="121"/>
      <c r="U234" s="121"/>
      <c r="V234" s="121"/>
      <c r="W234" s="121"/>
      <c r="X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K234" s="32"/>
      <c r="AM234" s="5"/>
      <c r="AO234" s="5"/>
      <c r="AP234" s="5"/>
      <c r="AQ234" s="5"/>
      <c r="AR234" s="5"/>
      <c r="CS234" s="5"/>
      <c r="CT234" s="5"/>
      <c r="CU234" s="5"/>
      <c r="CV234" s="5"/>
      <c r="CW234" s="5"/>
      <c r="CX234" s="5"/>
      <c r="CY234" s="5"/>
      <c r="CZ234" s="5"/>
      <c r="DA234" s="5"/>
    </row>
    <row r="235" spans="1:105" x14ac:dyDescent="0.25">
      <c r="A235" s="132"/>
      <c r="B235" s="135"/>
      <c r="C235" s="111"/>
      <c r="D235" s="111"/>
      <c r="E235" s="136"/>
      <c r="F235" s="43"/>
      <c r="Q235" s="121"/>
      <c r="T235" s="121"/>
      <c r="U235" s="121"/>
      <c r="V235" s="121"/>
      <c r="W235" s="121"/>
      <c r="X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K235" s="32"/>
      <c r="AM235" s="5"/>
      <c r="AO235" s="5"/>
      <c r="AP235" s="5"/>
      <c r="AQ235" s="5"/>
      <c r="AR235" s="5"/>
      <c r="CS235" s="5"/>
      <c r="CT235" s="5"/>
      <c r="CU235" s="5"/>
      <c r="CV235" s="5"/>
      <c r="CW235" s="5"/>
      <c r="CX235" s="5"/>
      <c r="CY235" s="5"/>
      <c r="CZ235" s="5"/>
      <c r="DA235" s="5"/>
    </row>
    <row r="236" spans="1:105" x14ac:dyDescent="0.25">
      <c r="A236" s="132"/>
      <c r="B236" s="135"/>
      <c r="C236" s="111"/>
      <c r="D236" s="111"/>
      <c r="E236" s="136"/>
      <c r="F236" s="43"/>
      <c r="Q236" s="121"/>
      <c r="T236" s="121"/>
      <c r="U236" s="121"/>
      <c r="V236" s="121"/>
      <c r="W236" s="121"/>
      <c r="X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K236" s="32"/>
      <c r="AM236" s="5"/>
      <c r="AO236" s="5"/>
      <c r="AP236" s="5"/>
      <c r="AQ236" s="5"/>
      <c r="AR236" s="5"/>
      <c r="CS236" s="5"/>
      <c r="CT236" s="5"/>
      <c r="CU236" s="5"/>
      <c r="CV236" s="5"/>
      <c r="CW236" s="5"/>
      <c r="CX236" s="5"/>
      <c r="CY236" s="5"/>
      <c r="CZ236" s="5"/>
      <c r="DA236" s="5"/>
    </row>
    <row r="237" spans="1:105" x14ac:dyDescent="0.25">
      <c r="A237" s="132"/>
      <c r="B237" s="135"/>
      <c r="C237" s="111"/>
      <c r="D237" s="111"/>
      <c r="E237" s="136"/>
      <c r="F237" s="43"/>
      <c r="Q237" s="121"/>
      <c r="T237" s="121"/>
      <c r="U237" s="121"/>
      <c r="V237" s="121"/>
      <c r="W237" s="121"/>
      <c r="X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K237" s="32"/>
      <c r="AM237" s="5"/>
      <c r="AO237" s="5"/>
      <c r="AP237" s="5"/>
      <c r="AQ237" s="5"/>
      <c r="AR237" s="5"/>
      <c r="CS237" s="5"/>
      <c r="CT237" s="5"/>
      <c r="CU237" s="5"/>
      <c r="CV237" s="5"/>
      <c r="CW237" s="5"/>
      <c r="CX237" s="5"/>
      <c r="CY237" s="5"/>
      <c r="CZ237" s="5"/>
      <c r="DA237" s="5"/>
    </row>
    <row r="238" spans="1:105" x14ac:dyDescent="0.25">
      <c r="A238" s="132"/>
      <c r="B238" s="135"/>
      <c r="C238" s="111"/>
      <c r="D238" s="111"/>
      <c r="E238" s="136"/>
      <c r="F238" s="43"/>
      <c r="Q238" s="121"/>
      <c r="T238" s="121"/>
      <c r="U238" s="121"/>
      <c r="V238" s="121"/>
      <c r="W238" s="121"/>
      <c r="X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K238" s="32"/>
      <c r="AM238" s="5"/>
      <c r="AO238" s="5"/>
      <c r="AP238" s="5"/>
      <c r="AQ238" s="5"/>
      <c r="AR238" s="5"/>
      <c r="CS238" s="5"/>
      <c r="CT238" s="5"/>
      <c r="CU238" s="5"/>
      <c r="CV238" s="5"/>
      <c r="CW238" s="5"/>
      <c r="CX238" s="5"/>
      <c r="CY238" s="5"/>
      <c r="CZ238" s="5"/>
      <c r="DA238" s="5"/>
    </row>
    <row r="239" spans="1:105" x14ac:dyDescent="0.25">
      <c r="A239" s="132"/>
      <c r="B239" s="135"/>
      <c r="C239" s="111"/>
      <c r="D239" s="111"/>
      <c r="E239" s="136"/>
      <c r="F239" s="43"/>
      <c r="Q239" s="121"/>
      <c r="T239" s="121"/>
      <c r="U239" s="121"/>
      <c r="V239" s="121"/>
      <c r="W239" s="121"/>
      <c r="X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K239" s="32"/>
      <c r="AM239" s="5"/>
      <c r="AO239" s="5"/>
      <c r="AP239" s="5"/>
      <c r="AQ239" s="5"/>
      <c r="AR239" s="5"/>
      <c r="CS239" s="5"/>
      <c r="CT239" s="5"/>
      <c r="CU239" s="5"/>
      <c r="CV239" s="5"/>
      <c r="CW239" s="5"/>
      <c r="CX239" s="5"/>
      <c r="CY239" s="5"/>
      <c r="CZ239" s="5"/>
      <c r="DA239" s="5"/>
    </row>
    <row r="240" spans="1:105" x14ac:dyDescent="0.25">
      <c r="A240" s="132"/>
      <c r="B240" s="135"/>
      <c r="C240" s="111"/>
      <c r="D240" s="111"/>
      <c r="E240" s="136"/>
      <c r="F240" s="43"/>
      <c r="Q240" s="121"/>
      <c r="T240" s="121"/>
      <c r="U240" s="121"/>
      <c r="V240" s="121"/>
      <c r="W240" s="121"/>
      <c r="X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K240" s="32"/>
      <c r="AM240" s="5"/>
      <c r="AO240" s="5"/>
      <c r="AP240" s="5"/>
      <c r="AQ240" s="5"/>
      <c r="AR240" s="5"/>
      <c r="CS240" s="5"/>
      <c r="CT240" s="5"/>
      <c r="CU240" s="5"/>
      <c r="CV240" s="5"/>
      <c r="CW240" s="5"/>
      <c r="CX240" s="5"/>
      <c r="CY240" s="5"/>
      <c r="CZ240" s="5"/>
      <c r="DA240" s="5"/>
    </row>
    <row r="241" spans="1:105" x14ac:dyDescent="0.25">
      <c r="A241" s="132"/>
      <c r="B241" s="135"/>
      <c r="C241" s="111"/>
      <c r="D241" s="111"/>
      <c r="E241" s="136"/>
      <c r="F241" s="43"/>
      <c r="Q241" s="121"/>
      <c r="T241" s="121"/>
      <c r="U241" s="121"/>
      <c r="V241" s="121"/>
      <c r="W241" s="121"/>
      <c r="X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K241" s="32"/>
      <c r="AM241" s="5"/>
      <c r="AO241" s="5"/>
      <c r="AP241" s="5"/>
      <c r="AQ241" s="5"/>
      <c r="AR241" s="5"/>
      <c r="CS241" s="5"/>
      <c r="CT241" s="5"/>
      <c r="CU241" s="5"/>
      <c r="CV241" s="5"/>
      <c r="CW241" s="5"/>
      <c r="CX241" s="5"/>
      <c r="CY241" s="5"/>
      <c r="CZ241" s="5"/>
      <c r="DA241" s="5"/>
    </row>
    <row r="242" spans="1:105" x14ac:dyDescent="0.25">
      <c r="A242" s="132"/>
      <c r="B242" s="135"/>
      <c r="C242" s="111"/>
      <c r="D242" s="111"/>
      <c r="E242" s="136"/>
      <c r="F242" s="43"/>
      <c r="Q242" s="121"/>
      <c r="T242" s="121"/>
      <c r="U242" s="121"/>
      <c r="V242" s="121"/>
      <c r="W242" s="121"/>
      <c r="X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K242" s="32"/>
      <c r="AM242" s="5"/>
      <c r="AO242" s="5"/>
      <c r="AP242" s="5"/>
      <c r="AQ242" s="5"/>
      <c r="AR242" s="5"/>
      <c r="CS242" s="5"/>
      <c r="CT242" s="5"/>
      <c r="CU242" s="5"/>
      <c r="CV242" s="5"/>
      <c r="CW242" s="5"/>
      <c r="CX242" s="5"/>
      <c r="CY242" s="5"/>
      <c r="CZ242" s="5"/>
      <c r="DA242" s="5"/>
    </row>
    <row r="243" spans="1:105" x14ac:dyDescent="0.25">
      <c r="A243" s="132"/>
      <c r="B243" s="135"/>
      <c r="C243" s="111"/>
      <c r="D243" s="111"/>
      <c r="E243" s="136"/>
      <c r="F243" s="43"/>
      <c r="Q243" s="121"/>
      <c r="T243" s="121"/>
      <c r="U243" s="121"/>
      <c r="V243" s="121"/>
      <c r="W243" s="121"/>
      <c r="X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K243" s="32"/>
      <c r="AM243" s="5"/>
      <c r="AO243" s="5"/>
      <c r="AP243" s="5"/>
      <c r="AQ243" s="5"/>
      <c r="AR243" s="5"/>
      <c r="CS243" s="5"/>
      <c r="CT243" s="5"/>
      <c r="CU243" s="5"/>
      <c r="CV243" s="5"/>
      <c r="CW243" s="5"/>
      <c r="CX243" s="5"/>
      <c r="CY243" s="5"/>
      <c r="CZ243" s="5"/>
      <c r="DA243" s="5"/>
    </row>
    <row r="244" spans="1:105" x14ac:dyDescent="0.25">
      <c r="A244" s="132"/>
      <c r="B244" s="135"/>
      <c r="C244" s="111"/>
      <c r="D244" s="111"/>
      <c r="E244" s="136"/>
      <c r="F244" s="43"/>
      <c r="Q244" s="121"/>
      <c r="T244" s="121"/>
      <c r="U244" s="121"/>
      <c r="V244" s="121"/>
      <c r="W244" s="121"/>
      <c r="X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K244" s="32"/>
      <c r="AM244" s="5"/>
      <c r="AO244" s="5"/>
      <c r="AP244" s="5"/>
      <c r="AQ244" s="5"/>
      <c r="AR244" s="5"/>
      <c r="CS244" s="5"/>
      <c r="CT244" s="5"/>
      <c r="CU244" s="5"/>
      <c r="CV244" s="5"/>
      <c r="CW244" s="5"/>
      <c r="CX244" s="5"/>
      <c r="CY244" s="5"/>
      <c r="CZ244" s="5"/>
      <c r="DA244" s="5"/>
    </row>
    <row r="245" spans="1:105" x14ac:dyDescent="0.25">
      <c r="A245" s="132"/>
      <c r="B245" s="135"/>
      <c r="C245" s="111"/>
      <c r="D245" s="111"/>
      <c r="E245" s="136"/>
      <c r="F245" s="43"/>
      <c r="Q245" s="121"/>
      <c r="T245" s="121"/>
      <c r="U245" s="121"/>
      <c r="V245" s="121"/>
      <c r="W245" s="121"/>
      <c r="X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K245" s="32"/>
      <c r="AM245" s="5"/>
      <c r="AO245" s="5"/>
      <c r="AP245" s="5"/>
      <c r="AQ245" s="5"/>
      <c r="AR245" s="5"/>
      <c r="CS245" s="5"/>
      <c r="CT245" s="5"/>
      <c r="CU245" s="5"/>
      <c r="CV245" s="5"/>
      <c r="CW245" s="5"/>
      <c r="CX245" s="5"/>
      <c r="CY245" s="5"/>
      <c r="CZ245" s="5"/>
      <c r="DA245" s="5"/>
    </row>
    <row r="246" spans="1:105" x14ac:dyDescent="0.25">
      <c r="A246" s="132"/>
      <c r="B246" s="135"/>
      <c r="C246" s="111"/>
      <c r="D246" s="111"/>
      <c r="E246" s="136"/>
      <c r="F246" s="43"/>
      <c r="Q246" s="121"/>
      <c r="T246" s="121"/>
      <c r="U246" s="121"/>
      <c r="V246" s="121"/>
      <c r="W246" s="121"/>
      <c r="X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K246" s="32"/>
      <c r="AM246" s="5"/>
      <c r="AO246" s="5"/>
      <c r="AP246" s="5"/>
      <c r="AQ246" s="5"/>
      <c r="AR246" s="5"/>
      <c r="CS246" s="5"/>
      <c r="CT246" s="5"/>
      <c r="CU246" s="5"/>
      <c r="CV246" s="5"/>
      <c r="CW246" s="5"/>
      <c r="CX246" s="5"/>
      <c r="CY246" s="5"/>
      <c r="CZ246" s="5"/>
      <c r="DA246" s="5"/>
    </row>
    <row r="247" spans="1:105" x14ac:dyDescent="0.25">
      <c r="A247" s="132"/>
      <c r="B247" s="135"/>
      <c r="C247" s="111"/>
      <c r="D247" s="111"/>
      <c r="E247" s="136"/>
      <c r="F247" s="43"/>
      <c r="Q247" s="121"/>
      <c r="T247" s="121"/>
      <c r="U247" s="121"/>
      <c r="V247" s="121"/>
      <c r="W247" s="121"/>
      <c r="X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K247" s="32"/>
      <c r="AM247" s="5"/>
      <c r="AO247" s="5"/>
      <c r="AP247" s="5"/>
      <c r="AQ247" s="5"/>
      <c r="AR247" s="5"/>
      <c r="CS247" s="5"/>
      <c r="CT247" s="5"/>
      <c r="CU247" s="5"/>
      <c r="CV247" s="5"/>
      <c r="CW247" s="5"/>
      <c r="CX247" s="5"/>
      <c r="CY247" s="5"/>
      <c r="CZ247" s="5"/>
      <c r="DA247" s="5"/>
    </row>
    <row r="248" spans="1:105" x14ac:dyDescent="0.25">
      <c r="A248" s="132"/>
      <c r="B248" s="135"/>
      <c r="C248" s="111"/>
      <c r="D248" s="111"/>
      <c r="E248" s="136"/>
      <c r="F248" s="43"/>
      <c r="Q248" s="121"/>
      <c r="T248" s="121"/>
      <c r="U248" s="121"/>
      <c r="V248" s="121"/>
      <c r="W248" s="121"/>
      <c r="X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K248" s="32"/>
      <c r="AM248" s="5"/>
      <c r="AO248" s="5"/>
      <c r="AP248" s="5"/>
      <c r="AQ248" s="5"/>
      <c r="AR248" s="5"/>
      <c r="CS248" s="5"/>
      <c r="CT248" s="5"/>
      <c r="CU248" s="5"/>
      <c r="CV248" s="5"/>
      <c r="CW248" s="5"/>
      <c r="CX248" s="5"/>
      <c r="CY248" s="5"/>
      <c r="CZ248" s="5"/>
      <c r="DA248" s="5"/>
    </row>
    <row r="249" spans="1:105" x14ac:dyDescent="0.25">
      <c r="A249" s="132"/>
      <c r="B249" s="135"/>
      <c r="C249" s="111"/>
      <c r="D249" s="111"/>
      <c r="E249" s="136"/>
      <c r="F249" s="43"/>
      <c r="Q249" s="121"/>
      <c r="T249" s="121"/>
      <c r="U249" s="121"/>
      <c r="V249" s="121"/>
      <c r="W249" s="121"/>
      <c r="X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K249" s="32"/>
    </row>
    <row r="250" spans="1:105" x14ac:dyDescent="0.25">
      <c r="A250" s="132"/>
      <c r="B250" s="135"/>
      <c r="C250" s="111"/>
      <c r="D250" s="111"/>
      <c r="E250" s="136"/>
      <c r="F250" s="43"/>
      <c r="Q250" s="121"/>
      <c r="T250" s="121"/>
      <c r="U250" s="121"/>
      <c r="V250" s="121"/>
      <c r="W250" s="121"/>
      <c r="X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K250" s="32"/>
    </row>
    <row r="251" spans="1:105" x14ac:dyDescent="0.25">
      <c r="A251" s="132"/>
      <c r="B251" s="135"/>
      <c r="C251" s="111"/>
      <c r="D251" s="111"/>
      <c r="E251" s="136"/>
      <c r="F251" s="43"/>
      <c r="Q251" s="121"/>
      <c r="T251" s="121"/>
      <c r="U251" s="121"/>
      <c r="V251" s="121"/>
      <c r="W251" s="121"/>
      <c r="X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K251" s="32"/>
    </row>
    <row r="252" spans="1:105" x14ac:dyDescent="0.25">
      <c r="A252" s="132"/>
      <c r="B252" s="135"/>
      <c r="C252" s="111"/>
      <c r="D252" s="111"/>
      <c r="E252" s="136"/>
      <c r="F252" s="43"/>
      <c r="Q252" s="121"/>
      <c r="T252" s="121"/>
      <c r="U252" s="121"/>
      <c r="V252" s="121"/>
      <c r="W252" s="121"/>
      <c r="X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K252" s="32"/>
    </row>
    <row r="253" spans="1:105" x14ac:dyDescent="0.25">
      <c r="A253" s="132"/>
      <c r="B253" s="135"/>
      <c r="C253" s="111"/>
      <c r="D253" s="111"/>
      <c r="E253" s="136"/>
      <c r="F253" s="43"/>
      <c r="Q253" s="121"/>
      <c r="T253" s="121"/>
      <c r="U253" s="121"/>
      <c r="V253" s="121"/>
      <c r="W253" s="121"/>
      <c r="X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K253" s="32"/>
    </row>
    <row r="254" spans="1:105" x14ac:dyDescent="0.25">
      <c r="A254" s="132"/>
      <c r="B254" s="135"/>
      <c r="C254" s="111"/>
      <c r="D254" s="111"/>
      <c r="E254" s="136"/>
      <c r="F254" s="43"/>
      <c r="Q254" s="121"/>
      <c r="T254" s="121"/>
      <c r="U254" s="121"/>
      <c r="V254" s="121"/>
      <c r="W254" s="121"/>
      <c r="X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K254" s="32"/>
    </row>
    <row r="255" spans="1:105" x14ac:dyDescent="0.25">
      <c r="A255" s="132"/>
      <c r="B255" s="135"/>
      <c r="C255" s="111"/>
      <c r="D255" s="111"/>
      <c r="E255" s="136"/>
      <c r="F255" s="43"/>
      <c r="Q255" s="121"/>
      <c r="T255" s="121"/>
      <c r="U255" s="121"/>
      <c r="V255" s="121"/>
      <c r="W255" s="121"/>
      <c r="X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K255" s="32"/>
    </row>
    <row r="256" spans="1:105" x14ac:dyDescent="0.25">
      <c r="A256" s="132"/>
      <c r="B256" s="135"/>
      <c r="C256" s="111"/>
      <c r="D256" s="111"/>
      <c r="E256" s="136"/>
      <c r="F256" s="43"/>
      <c r="Q256" s="121"/>
      <c r="T256" s="121"/>
      <c r="U256" s="121"/>
      <c r="V256" s="121"/>
      <c r="W256" s="121"/>
      <c r="X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K256" s="32"/>
    </row>
    <row r="257" spans="1:37" x14ac:dyDescent="0.25">
      <c r="A257" s="132"/>
      <c r="B257" s="135"/>
      <c r="C257" s="111"/>
      <c r="D257" s="111"/>
      <c r="E257" s="136"/>
      <c r="F257" s="43"/>
      <c r="Q257" s="121"/>
      <c r="T257" s="121"/>
      <c r="U257" s="121"/>
      <c r="V257" s="121"/>
      <c r="W257" s="121"/>
      <c r="X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K257" s="32"/>
    </row>
    <row r="258" spans="1:37" x14ac:dyDescent="0.25">
      <c r="A258" s="132"/>
      <c r="B258" s="135"/>
      <c r="C258" s="111"/>
      <c r="D258" s="111"/>
      <c r="E258" s="136"/>
      <c r="F258" s="43"/>
      <c r="Q258" s="121"/>
      <c r="T258" s="121"/>
      <c r="U258" s="121"/>
      <c r="V258" s="121"/>
      <c r="W258" s="121"/>
      <c r="X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K258" s="32"/>
    </row>
    <row r="259" spans="1:37" x14ac:dyDescent="0.25">
      <c r="A259" s="132"/>
      <c r="B259" s="135"/>
      <c r="C259" s="111"/>
      <c r="D259" s="111"/>
      <c r="E259" s="136"/>
      <c r="F259" s="43"/>
      <c r="Q259" s="121"/>
      <c r="T259" s="121"/>
      <c r="U259" s="121"/>
      <c r="V259" s="121"/>
      <c r="W259" s="121"/>
      <c r="X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K259" s="32"/>
    </row>
    <row r="260" spans="1:37" x14ac:dyDescent="0.25">
      <c r="A260" s="132"/>
      <c r="B260" s="135"/>
      <c r="C260" s="111"/>
      <c r="D260" s="111"/>
      <c r="E260" s="136"/>
      <c r="F260" s="43"/>
      <c r="Q260" s="121"/>
      <c r="T260" s="121"/>
      <c r="U260" s="121"/>
      <c r="V260" s="121"/>
      <c r="W260" s="121"/>
      <c r="X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K260" s="32"/>
    </row>
    <row r="261" spans="1:37" x14ac:dyDescent="0.25">
      <c r="A261" s="132"/>
      <c r="B261" s="135"/>
      <c r="C261" s="111"/>
      <c r="D261" s="111"/>
      <c r="E261" s="136"/>
      <c r="F261" s="43"/>
      <c r="Q261" s="121"/>
      <c r="T261" s="121"/>
      <c r="U261" s="121"/>
      <c r="V261" s="121"/>
      <c r="W261" s="121"/>
      <c r="X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K261" s="32"/>
    </row>
    <row r="262" spans="1:37" x14ac:dyDescent="0.25">
      <c r="A262" s="132"/>
      <c r="B262" s="135"/>
      <c r="C262" s="111"/>
      <c r="D262" s="111"/>
      <c r="E262" s="136"/>
      <c r="F262" s="43"/>
      <c r="Q262" s="121"/>
      <c r="T262" s="121"/>
      <c r="U262" s="121"/>
      <c r="V262" s="121"/>
      <c r="W262" s="121"/>
      <c r="X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K262" s="32"/>
    </row>
    <row r="263" spans="1:37" x14ac:dyDescent="0.25">
      <c r="A263" s="132"/>
      <c r="B263" s="135"/>
      <c r="C263" s="111"/>
      <c r="D263" s="111"/>
      <c r="E263" s="136"/>
      <c r="F263" s="43"/>
      <c r="Q263" s="121"/>
      <c r="T263" s="121"/>
      <c r="U263" s="121"/>
      <c r="V263" s="121"/>
      <c r="W263" s="121"/>
      <c r="X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K263" s="32"/>
    </row>
    <row r="264" spans="1:37" x14ac:dyDescent="0.25">
      <c r="A264" s="132"/>
      <c r="B264" s="135"/>
      <c r="C264" s="111"/>
      <c r="D264" s="111"/>
      <c r="E264" s="136"/>
      <c r="F264" s="43"/>
      <c r="Q264" s="121"/>
      <c r="T264" s="121"/>
      <c r="U264" s="121"/>
      <c r="V264" s="121"/>
      <c r="W264" s="121"/>
      <c r="X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K264" s="32"/>
    </row>
    <row r="265" spans="1:37" x14ac:dyDescent="0.25">
      <c r="A265" s="132"/>
      <c r="B265" s="135"/>
      <c r="C265" s="111"/>
      <c r="D265" s="111"/>
      <c r="E265" s="136"/>
      <c r="F265" s="43"/>
      <c r="Q265" s="121"/>
      <c r="T265" s="121"/>
      <c r="U265" s="121"/>
      <c r="V265" s="121"/>
      <c r="W265" s="121"/>
      <c r="X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K265" s="32"/>
    </row>
    <row r="266" spans="1:37" x14ac:dyDescent="0.25">
      <c r="A266" s="132"/>
      <c r="B266" s="135"/>
      <c r="C266" s="111"/>
      <c r="D266" s="111"/>
      <c r="E266" s="136"/>
      <c r="F266" s="43"/>
      <c r="Q266" s="121"/>
      <c r="T266" s="121"/>
      <c r="U266" s="121"/>
      <c r="V266" s="121"/>
      <c r="W266" s="121"/>
      <c r="X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K266" s="32"/>
    </row>
    <row r="267" spans="1:37" x14ac:dyDescent="0.25">
      <c r="A267" s="132"/>
      <c r="B267" s="135"/>
      <c r="C267" s="111"/>
      <c r="D267" s="111"/>
      <c r="E267" s="136"/>
      <c r="F267" s="43"/>
      <c r="Q267" s="121"/>
      <c r="T267" s="121"/>
      <c r="U267" s="121"/>
      <c r="V267" s="121"/>
      <c r="W267" s="121"/>
      <c r="X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K267" s="32"/>
    </row>
    <row r="268" spans="1:37" x14ac:dyDescent="0.25">
      <c r="A268" s="132"/>
      <c r="B268" s="135"/>
      <c r="C268" s="111"/>
      <c r="D268" s="111"/>
      <c r="E268" s="136"/>
      <c r="F268" s="43"/>
      <c r="Q268" s="121"/>
      <c r="T268" s="121"/>
      <c r="U268" s="121"/>
      <c r="V268" s="121"/>
      <c r="W268" s="121"/>
      <c r="X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K268" s="32"/>
    </row>
    <row r="269" spans="1:37" x14ac:dyDescent="0.25">
      <c r="A269" s="132"/>
      <c r="B269" s="135"/>
      <c r="C269" s="111"/>
      <c r="D269" s="111"/>
      <c r="E269" s="136"/>
      <c r="F269" s="43"/>
      <c r="Q269" s="121"/>
      <c r="T269" s="121"/>
      <c r="U269" s="121"/>
      <c r="V269" s="121"/>
      <c r="W269" s="121"/>
      <c r="X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K269" s="32"/>
    </row>
    <row r="270" spans="1:37" x14ac:dyDescent="0.25">
      <c r="A270" s="132"/>
      <c r="B270" s="135"/>
      <c r="C270" s="111"/>
      <c r="D270" s="111"/>
      <c r="E270" s="136"/>
      <c r="F270" s="43"/>
      <c r="Q270" s="121"/>
      <c r="T270" s="121"/>
      <c r="U270" s="121"/>
      <c r="V270" s="121"/>
      <c r="W270" s="121"/>
      <c r="X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K270" s="32"/>
    </row>
    <row r="271" spans="1:37" x14ac:dyDescent="0.25">
      <c r="A271" s="132"/>
      <c r="B271" s="135"/>
      <c r="C271" s="111"/>
      <c r="D271" s="111"/>
      <c r="E271" s="136"/>
      <c r="F271" s="43"/>
      <c r="Q271" s="121"/>
      <c r="T271" s="121"/>
      <c r="U271" s="121"/>
      <c r="V271" s="121"/>
      <c r="W271" s="121"/>
      <c r="X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K271" s="32"/>
    </row>
    <row r="272" spans="1:37" x14ac:dyDescent="0.25">
      <c r="A272" s="132"/>
      <c r="B272" s="135"/>
      <c r="C272" s="111"/>
      <c r="D272" s="111"/>
      <c r="E272" s="136"/>
      <c r="F272" s="43"/>
      <c r="Q272" s="121"/>
      <c r="T272" s="121"/>
      <c r="U272" s="121"/>
      <c r="V272" s="121"/>
      <c r="W272" s="121"/>
      <c r="X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K272" s="32"/>
    </row>
    <row r="273" spans="1:37" x14ac:dyDescent="0.25">
      <c r="A273" s="132"/>
      <c r="B273" s="135"/>
      <c r="C273" s="111"/>
      <c r="D273" s="111"/>
      <c r="E273" s="136"/>
      <c r="F273" s="43"/>
      <c r="Q273" s="121"/>
      <c r="T273" s="121"/>
      <c r="U273" s="121"/>
      <c r="V273" s="121"/>
      <c r="W273" s="121"/>
      <c r="X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K273" s="32"/>
    </row>
    <row r="274" spans="1:37" x14ac:dyDescent="0.25">
      <c r="A274" s="132"/>
      <c r="B274" s="135"/>
      <c r="C274" s="111"/>
      <c r="D274" s="111"/>
      <c r="E274" s="136"/>
      <c r="F274" s="43"/>
      <c r="Q274" s="121"/>
      <c r="T274" s="121"/>
      <c r="U274" s="121"/>
      <c r="V274" s="121"/>
      <c r="W274" s="121"/>
      <c r="X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K274" s="32"/>
    </row>
    <row r="275" spans="1:37" x14ac:dyDescent="0.25">
      <c r="A275" s="132"/>
      <c r="B275" s="135"/>
      <c r="C275" s="111"/>
      <c r="D275" s="111"/>
      <c r="E275" s="136"/>
      <c r="F275" s="43"/>
      <c r="Q275" s="121"/>
      <c r="T275" s="121"/>
      <c r="U275" s="121"/>
      <c r="V275" s="121"/>
      <c r="W275" s="121"/>
      <c r="X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K275" s="32"/>
    </row>
    <row r="276" spans="1:37" x14ac:dyDescent="0.25">
      <c r="A276" s="132"/>
      <c r="B276" s="135"/>
      <c r="C276" s="111"/>
      <c r="D276" s="111"/>
      <c r="E276" s="136"/>
      <c r="F276" s="43"/>
      <c r="Q276" s="121"/>
      <c r="T276" s="121"/>
      <c r="U276" s="121"/>
      <c r="V276" s="121"/>
      <c r="W276" s="121"/>
      <c r="X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K276" s="32"/>
    </row>
    <row r="277" spans="1:37" x14ac:dyDescent="0.25">
      <c r="A277" s="132"/>
      <c r="B277" s="135"/>
      <c r="C277" s="111"/>
      <c r="D277" s="111"/>
      <c r="E277" s="136"/>
      <c r="F277" s="43"/>
      <c r="Q277" s="121"/>
      <c r="T277" s="121"/>
      <c r="U277" s="121"/>
      <c r="V277" s="121"/>
      <c r="W277" s="121"/>
      <c r="X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K277" s="32"/>
    </row>
    <row r="278" spans="1:37" x14ac:dyDescent="0.25">
      <c r="A278" s="132"/>
      <c r="B278" s="135"/>
      <c r="C278" s="111"/>
      <c r="D278" s="111"/>
      <c r="E278" s="136"/>
      <c r="F278" s="43"/>
      <c r="Q278" s="121"/>
      <c r="T278" s="121"/>
      <c r="U278" s="121"/>
      <c r="V278" s="121"/>
      <c r="W278" s="121"/>
      <c r="X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K278" s="32"/>
    </row>
    <row r="279" spans="1:37" x14ac:dyDescent="0.25">
      <c r="A279" s="132"/>
      <c r="B279" s="135"/>
      <c r="C279" s="111"/>
      <c r="D279" s="111"/>
      <c r="E279" s="136"/>
      <c r="F279" s="43"/>
      <c r="Q279" s="121"/>
      <c r="T279" s="121"/>
      <c r="U279" s="121"/>
      <c r="V279" s="121"/>
      <c r="W279" s="121"/>
      <c r="X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K279" s="32"/>
    </row>
    <row r="280" spans="1:37" x14ac:dyDescent="0.25">
      <c r="A280" s="132"/>
      <c r="B280" s="135"/>
      <c r="C280" s="111"/>
      <c r="D280" s="111"/>
      <c r="E280" s="136"/>
      <c r="F280" s="43"/>
      <c r="Q280" s="121"/>
      <c r="T280" s="121"/>
      <c r="U280" s="121"/>
      <c r="V280" s="121"/>
      <c r="W280" s="121"/>
      <c r="X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K280" s="32"/>
    </row>
    <row r="281" spans="1:37" x14ac:dyDescent="0.25">
      <c r="A281" s="132"/>
      <c r="B281" s="135"/>
      <c r="C281" s="111"/>
      <c r="D281" s="111"/>
      <c r="E281" s="136"/>
      <c r="F281" s="43"/>
      <c r="Q281" s="121"/>
      <c r="T281" s="121"/>
      <c r="U281" s="121"/>
      <c r="V281" s="121"/>
      <c r="W281" s="121"/>
      <c r="X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K281" s="32"/>
    </row>
    <row r="282" spans="1:37" x14ac:dyDescent="0.25">
      <c r="A282" s="132"/>
      <c r="B282" s="135"/>
      <c r="C282" s="111"/>
      <c r="D282" s="111"/>
      <c r="E282" s="136"/>
      <c r="F282" s="43"/>
      <c r="Q282" s="121"/>
      <c r="T282" s="121"/>
      <c r="U282" s="121"/>
      <c r="V282" s="121"/>
      <c r="W282" s="121"/>
      <c r="X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K282" s="32"/>
    </row>
    <row r="283" spans="1:37" x14ac:dyDescent="0.25">
      <c r="A283" s="132"/>
      <c r="B283" s="135"/>
      <c r="C283" s="111"/>
      <c r="D283" s="111"/>
      <c r="E283" s="136"/>
      <c r="F283" s="43"/>
      <c r="Q283" s="121"/>
      <c r="T283" s="121"/>
      <c r="U283" s="121"/>
      <c r="V283" s="121"/>
      <c r="W283" s="121"/>
      <c r="X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K283" s="32"/>
    </row>
    <row r="284" spans="1:37" x14ac:dyDescent="0.25">
      <c r="A284" s="132"/>
      <c r="B284" s="135"/>
      <c r="C284" s="111"/>
      <c r="D284" s="111"/>
      <c r="E284" s="136"/>
      <c r="F284" s="43"/>
      <c r="Q284" s="121"/>
      <c r="T284" s="121"/>
      <c r="U284" s="121"/>
      <c r="V284" s="121"/>
      <c r="W284" s="121"/>
      <c r="X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K284" s="32"/>
    </row>
    <row r="285" spans="1:37" x14ac:dyDescent="0.25">
      <c r="A285" s="132"/>
      <c r="B285" s="135"/>
      <c r="C285" s="111"/>
      <c r="D285" s="111"/>
      <c r="E285" s="136"/>
      <c r="F285" s="43"/>
      <c r="Q285" s="121"/>
      <c r="T285" s="121"/>
      <c r="U285" s="121"/>
      <c r="V285" s="121"/>
      <c r="W285" s="121"/>
      <c r="X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K285" s="32"/>
    </row>
    <row r="286" spans="1:37" x14ac:dyDescent="0.25">
      <c r="A286" s="132"/>
      <c r="B286" s="135"/>
      <c r="C286" s="111"/>
      <c r="D286" s="111"/>
      <c r="E286" s="136"/>
      <c r="F286" s="43"/>
      <c r="Q286" s="121"/>
      <c r="T286" s="121"/>
      <c r="U286" s="121"/>
      <c r="V286" s="121"/>
      <c r="W286" s="121"/>
      <c r="X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K286" s="32"/>
    </row>
    <row r="287" spans="1:37" x14ac:dyDescent="0.25">
      <c r="A287" s="132"/>
      <c r="B287" s="135"/>
      <c r="C287" s="111"/>
      <c r="D287" s="111"/>
      <c r="E287" s="136"/>
      <c r="F287" s="43"/>
      <c r="Q287" s="121"/>
      <c r="T287" s="121"/>
      <c r="U287" s="121"/>
      <c r="V287" s="121"/>
      <c r="W287" s="121"/>
      <c r="X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K287" s="32"/>
    </row>
    <row r="288" spans="1:37" x14ac:dyDescent="0.25">
      <c r="A288" s="132"/>
      <c r="B288" s="135"/>
      <c r="C288" s="111"/>
      <c r="D288" s="111"/>
      <c r="E288" s="136"/>
      <c r="F288" s="43"/>
      <c r="Q288" s="121"/>
      <c r="T288" s="121"/>
      <c r="U288" s="121"/>
      <c r="V288" s="121"/>
      <c r="W288" s="121"/>
      <c r="X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K288" s="32"/>
    </row>
    <row r="289" spans="1:37" x14ac:dyDescent="0.25">
      <c r="A289" s="132"/>
      <c r="B289" s="135"/>
      <c r="C289" s="111"/>
      <c r="D289" s="111"/>
      <c r="E289" s="136"/>
      <c r="F289" s="43"/>
      <c r="Q289" s="121"/>
      <c r="T289" s="121"/>
      <c r="U289" s="121"/>
      <c r="V289" s="121"/>
      <c r="W289" s="121"/>
      <c r="X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K289" s="32"/>
    </row>
    <row r="290" spans="1:37" x14ac:dyDescent="0.25">
      <c r="A290" s="132"/>
      <c r="B290" s="135"/>
      <c r="C290" s="111"/>
      <c r="D290" s="111"/>
      <c r="E290" s="136"/>
      <c r="F290" s="43"/>
      <c r="Q290" s="121"/>
      <c r="T290" s="121"/>
      <c r="U290" s="121"/>
      <c r="V290" s="121"/>
      <c r="W290" s="121"/>
      <c r="X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K290" s="32"/>
    </row>
    <row r="291" spans="1:37" x14ac:dyDescent="0.25">
      <c r="A291" s="132"/>
      <c r="B291" s="135"/>
      <c r="C291" s="111"/>
      <c r="D291" s="111"/>
      <c r="E291" s="136"/>
      <c r="F291" s="43"/>
      <c r="Q291" s="121"/>
      <c r="T291" s="121"/>
      <c r="U291" s="121"/>
      <c r="V291" s="121"/>
      <c r="W291" s="121"/>
      <c r="X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K291" s="32"/>
    </row>
    <row r="292" spans="1:37" x14ac:dyDescent="0.25">
      <c r="A292" s="132"/>
      <c r="B292" s="135"/>
      <c r="C292" s="111"/>
      <c r="D292" s="111"/>
      <c r="E292" s="136"/>
      <c r="F292" s="43"/>
      <c r="Q292" s="121"/>
      <c r="T292" s="121"/>
      <c r="U292" s="121"/>
      <c r="V292" s="121"/>
      <c r="W292" s="121"/>
      <c r="X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K292" s="32"/>
    </row>
    <row r="293" spans="1:37" x14ac:dyDescent="0.25">
      <c r="A293" s="132"/>
      <c r="B293" s="135"/>
      <c r="C293" s="111"/>
      <c r="D293" s="111"/>
      <c r="E293" s="136"/>
      <c r="F293" s="43"/>
      <c r="Q293" s="121"/>
      <c r="T293" s="121"/>
      <c r="U293" s="121"/>
      <c r="V293" s="121"/>
      <c r="W293" s="121"/>
      <c r="X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K293" s="32"/>
    </row>
    <row r="294" spans="1:37" x14ac:dyDescent="0.25">
      <c r="A294" s="132"/>
      <c r="B294" s="135"/>
      <c r="C294" s="111"/>
      <c r="D294" s="111"/>
      <c r="E294" s="136"/>
      <c r="F294" s="43"/>
      <c r="Q294" s="121"/>
      <c r="T294" s="121"/>
      <c r="U294" s="121"/>
      <c r="V294" s="121"/>
      <c r="W294" s="121"/>
      <c r="X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K294" s="32"/>
    </row>
    <row r="295" spans="1:37" x14ac:dyDescent="0.25">
      <c r="A295" s="132"/>
      <c r="B295" s="135"/>
      <c r="C295" s="111"/>
      <c r="D295" s="111"/>
      <c r="E295" s="136"/>
      <c r="F295" s="43"/>
      <c r="Q295" s="121"/>
      <c r="T295" s="121"/>
      <c r="U295" s="121"/>
      <c r="V295" s="121"/>
      <c r="W295" s="121"/>
      <c r="X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K295" s="32"/>
    </row>
    <row r="296" spans="1:37" x14ac:dyDescent="0.25">
      <c r="A296" s="132"/>
      <c r="B296" s="135"/>
      <c r="C296" s="111"/>
      <c r="D296" s="111"/>
      <c r="E296" s="136"/>
      <c r="F296" s="43"/>
      <c r="Q296" s="121"/>
      <c r="T296" s="121"/>
      <c r="U296" s="121"/>
      <c r="V296" s="121"/>
      <c r="W296" s="121"/>
      <c r="X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K296" s="32"/>
    </row>
    <row r="297" spans="1:37" x14ac:dyDescent="0.25">
      <c r="A297" s="132"/>
      <c r="B297" s="135"/>
      <c r="C297" s="111"/>
      <c r="D297" s="111"/>
      <c r="E297" s="136"/>
      <c r="F297" s="43"/>
      <c r="Q297" s="121"/>
      <c r="T297" s="121"/>
      <c r="U297" s="121"/>
      <c r="V297" s="121"/>
      <c r="W297" s="121"/>
      <c r="X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K297" s="32"/>
    </row>
    <row r="298" spans="1:37" x14ac:dyDescent="0.25">
      <c r="A298" s="132"/>
      <c r="B298" s="135"/>
      <c r="C298" s="111"/>
      <c r="D298" s="111"/>
      <c r="E298" s="136"/>
      <c r="F298" s="43"/>
      <c r="Q298" s="121"/>
      <c r="T298" s="121"/>
      <c r="U298" s="121"/>
      <c r="V298" s="121"/>
      <c r="W298" s="121"/>
      <c r="X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K298" s="32"/>
    </row>
    <row r="299" spans="1:37" x14ac:dyDescent="0.25">
      <c r="A299" s="132"/>
      <c r="B299" s="135"/>
      <c r="C299" s="111"/>
      <c r="D299" s="111"/>
      <c r="E299" s="136"/>
      <c r="F299" s="43"/>
      <c r="Q299" s="121"/>
      <c r="T299" s="121"/>
      <c r="U299" s="121"/>
      <c r="V299" s="121"/>
      <c r="W299" s="121"/>
      <c r="X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K299" s="32"/>
    </row>
    <row r="300" spans="1:37" x14ac:dyDescent="0.25">
      <c r="A300" s="132"/>
      <c r="B300" s="135"/>
      <c r="C300" s="111"/>
      <c r="D300" s="111"/>
      <c r="E300" s="136"/>
      <c r="F300" s="43"/>
      <c r="Q300" s="121"/>
      <c r="T300" s="121"/>
      <c r="U300" s="121"/>
      <c r="V300" s="121"/>
      <c r="W300" s="121"/>
      <c r="X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K300" s="32"/>
    </row>
    <row r="301" spans="1:37" x14ac:dyDescent="0.25">
      <c r="A301" s="132"/>
      <c r="B301" s="135"/>
      <c r="C301" s="111"/>
      <c r="D301" s="111"/>
      <c r="E301" s="136"/>
      <c r="F301" s="43"/>
      <c r="Q301" s="121"/>
      <c r="T301" s="121"/>
      <c r="U301" s="121"/>
      <c r="V301" s="121"/>
      <c r="W301" s="121"/>
      <c r="X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K301" s="32"/>
    </row>
    <row r="302" spans="1:37" x14ac:dyDescent="0.25">
      <c r="A302" s="132"/>
      <c r="B302" s="135"/>
      <c r="C302" s="111"/>
      <c r="D302" s="111"/>
      <c r="E302" s="136"/>
      <c r="F302" s="43"/>
      <c r="Q302" s="121"/>
      <c r="T302" s="121"/>
      <c r="U302" s="121"/>
      <c r="V302" s="121"/>
      <c r="W302" s="121"/>
      <c r="X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K302" s="32"/>
    </row>
    <row r="303" spans="1:37" x14ac:dyDescent="0.25">
      <c r="A303" s="132"/>
      <c r="B303" s="135"/>
      <c r="C303" s="111"/>
      <c r="D303" s="111"/>
      <c r="E303" s="136"/>
      <c r="F303" s="43"/>
      <c r="Q303" s="121"/>
      <c r="T303" s="121"/>
      <c r="U303" s="121"/>
      <c r="V303" s="121"/>
      <c r="W303" s="121"/>
      <c r="X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K303" s="32"/>
    </row>
    <row r="304" spans="1:37" x14ac:dyDescent="0.25">
      <c r="A304" s="132"/>
      <c r="B304" s="135"/>
      <c r="C304" s="111"/>
      <c r="D304" s="111"/>
      <c r="E304" s="136"/>
      <c r="F304" s="43"/>
      <c r="Q304" s="121"/>
      <c r="T304" s="121"/>
      <c r="U304" s="121"/>
      <c r="V304" s="121"/>
      <c r="W304" s="121"/>
      <c r="X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K304" s="32"/>
    </row>
    <row r="305" spans="1:37" x14ac:dyDescent="0.25">
      <c r="A305" s="132"/>
      <c r="B305" s="135"/>
      <c r="C305" s="111"/>
      <c r="D305" s="111"/>
      <c r="E305" s="136"/>
      <c r="F305" s="43"/>
      <c r="Q305" s="121"/>
      <c r="T305" s="121"/>
      <c r="U305" s="121"/>
      <c r="V305" s="121"/>
      <c r="W305" s="121"/>
      <c r="X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K305" s="32"/>
    </row>
    <row r="306" spans="1:37" x14ac:dyDescent="0.25">
      <c r="A306" s="132"/>
      <c r="B306" s="135"/>
      <c r="C306" s="111"/>
      <c r="D306" s="111"/>
      <c r="E306" s="136"/>
      <c r="F306" s="43"/>
      <c r="Q306" s="121"/>
      <c r="T306" s="121"/>
      <c r="U306" s="121"/>
      <c r="V306" s="121"/>
      <c r="W306" s="121"/>
      <c r="X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K306" s="32"/>
    </row>
    <row r="307" spans="1:37" x14ac:dyDescent="0.25">
      <c r="A307" s="132"/>
      <c r="B307" s="135"/>
      <c r="C307" s="111"/>
      <c r="D307" s="111"/>
      <c r="E307" s="136"/>
      <c r="F307" s="43"/>
      <c r="Q307" s="121"/>
      <c r="T307" s="121"/>
      <c r="U307" s="121"/>
      <c r="V307" s="121"/>
      <c r="W307" s="121"/>
      <c r="X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K307" s="32"/>
    </row>
    <row r="308" spans="1:37" x14ac:dyDescent="0.25">
      <c r="A308" s="132"/>
      <c r="B308" s="135"/>
      <c r="C308" s="111"/>
      <c r="D308" s="111"/>
      <c r="E308" s="136"/>
      <c r="F308" s="43"/>
      <c r="Q308" s="121"/>
      <c r="T308" s="121"/>
      <c r="U308" s="121"/>
      <c r="V308" s="121"/>
      <c r="W308" s="121"/>
      <c r="X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K308" s="32"/>
    </row>
    <row r="309" spans="1:37" x14ac:dyDescent="0.25">
      <c r="A309" s="132"/>
      <c r="B309" s="135"/>
      <c r="C309" s="111"/>
      <c r="D309" s="111"/>
      <c r="E309" s="136"/>
      <c r="F309" s="43"/>
      <c r="Q309" s="121"/>
      <c r="T309" s="121"/>
      <c r="U309" s="121"/>
      <c r="V309" s="121"/>
      <c r="W309" s="121"/>
      <c r="X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K309" s="32"/>
    </row>
    <row r="310" spans="1:37" x14ac:dyDescent="0.25">
      <c r="A310" s="132"/>
      <c r="B310" s="135"/>
      <c r="C310" s="111"/>
      <c r="D310" s="111"/>
      <c r="E310" s="136"/>
      <c r="F310" s="43"/>
      <c r="Q310" s="121"/>
      <c r="T310" s="121"/>
      <c r="U310" s="121"/>
      <c r="V310" s="121"/>
      <c r="W310" s="121"/>
      <c r="X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K310" s="32"/>
    </row>
    <row r="311" spans="1:37" x14ac:dyDescent="0.25">
      <c r="A311" s="132"/>
      <c r="B311" s="135"/>
      <c r="C311" s="111"/>
      <c r="D311" s="111"/>
      <c r="E311" s="136"/>
      <c r="F311" s="43"/>
      <c r="Q311" s="121"/>
      <c r="T311" s="121"/>
      <c r="U311" s="121"/>
      <c r="V311" s="121"/>
      <c r="W311" s="121"/>
      <c r="X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K311" s="32"/>
    </row>
    <row r="312" spans="1:37" x14ac:dyDescent="0.25">
      <c r="A312" s="132"/>
      <c r="B312" s="135"/>
      <c r="C312" s="111"/>
      <c r="D312" s="111"/>
      <c r="E312" s="136"/>
      <c r="F312" s="43"/>
      <c r="Q312" s="121"/>
      <c r="T312" s="121"/>
      <c r="U312" s="121"/>
      <c r="V312" s="121"/>
      <c r="W312" s="121"/>
      <c r="X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K312" s="32"/>
    </row>
    <row r="313" spans="1:37" x14ac:dyDescent="0.25">
      <c r="A313" s="132"/>
      <c r="B313" s="135"/>
      <c r="C313" s="111"/>
      <c r="D313" s="111"/>
      <c r="E313" s="136"/>
      <c r="F313" s="43"/>
      <c r="Q313" s="121"/>
      <c r="T313" s="121"/>
      <c r="U313" s="121"/>
      <c r="V313" s="121"/>
      <c r="W313" s="121"/>
      <c r="X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K313" s="32"/>
    </row>
    <row r="314" spans="1:37" x14ac:dyDescent="0.25">
      <c r="A314" s="132"/>
      <c r="B314" s="135"/>
      <c r="C314" s="111"/>
      <c r="D314" s="111"/>
      <c r="E314" s="136"/>
      <c r="F314" s="43"/>
      <c r="Q314" s="121"/>
      <c r="T314" s="121"/>
      <c r="U314" s="121"/>
      <c r="V314" s="121"/>
      <c r="W314" s="121"/>
      <c r="X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K314" s="32"/>
    </row>
    <row r="315" spans="1:37" x14ac:dyDescent="0.25">
      <c r="A315" s="132"/>
      <c r="B315" s="135"/>
      <c r="C315" s="111"/>
      <c r="D315" s="111"/>
      <c r="E315" s="136"/>
      <c r="F315" s="43"/>
      <c r="Q315" s="121"/>
      <c r="T315" s="121"/>
      <c r="U315" s="121"/>
      <c r="V315" s="121"/>
      <c r="W315" s="121"/>
      <c r="X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K315" s="32"/>
    </row>
    <row r="316" spans="1:37" x14ac:dyDescent="0.25">
      <c r="A316" s="132"/>
      <c r="B316" s="135"/>
      <c r="C316" s="111"/>
      <c r="D316" s="111"/>
      <c r="E316" s="136"/>
      <c r="F316" s="43"/>
      <c r="Q316" s="121"/>
      <c r="T316" s="121"/>
      <c r="U316" s="121"/>
      <c r="V316" s="121"/>
      <c r="W316" s="121"/>
      <c r="X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K316" s="32"/>
    </row>
    <row r="317" spans="1:37" x14ac:dyDescent="0.25">
      <c r="A317" s="132"/>
      <c r="B317" s="135"/>
      <c r="C317" s="111"/>
      <c r="D317" s="111"/>
      <c r="E317" s="136"/>
      <c r="F317" s="43"/>
      <c r="Q317" s="121"/>
      <c r="T317" s="121"/>
      <c r="U317" s="121"/>
      <c r="V317" s="121"/>
      <c r="W317" s="121"/>
      <c r="X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K317" s="32"/>
    </row>
    <row r="318" spans="1:37" x14ac:dyDescent="0.25">
      <c r="A318" s="132"/>
      <c r="B318" s="135"/>
      <c r="C318" s="111"/>
      <c r="D318" s="111"/>
      <c r="E318" s="136"/>
      <c r="F318" s="43"/>
      <c r="Q318" s="121"/>
      <c r="T318" s="121"/>
      <c r="U318" s="121"/>
      <c r="V318" s="121"/>
      <c r="W318" s="121"/>
      <c r="X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K318" s="32"/>
    </row>
    <row r="319" spans="1:37" x14ac:dyDescent="0.25">
      <c r="A319" s="132"/>
      <c r="B319" s="135"/>
      <c r="C319" s="111"/>
      <c r="D319" s="111"/>
      <c r="E319" s="136"/>
      <c r="F319" s="43"/>
      <c r="Q319" s="121"/>
      <c r="T319" s="121"/>
      <c r="U319" s="121"/>
      <c r="V319" s="121"/>
      <c r="W319" s="121"/>
      <c r="X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K319" s="32"/>
    </row>
    <row r="320" spans="1:37" x14ac:dyDescent="0.25">
      <c r="A320" s="132"/>
      <c r="B320" s="135"/>
      <c r="C320" s="111"/>
      <c r="D320" s="111"/>
      <c r="E320" s="136"/>
      <c r="F320" s="43"/>
      <c r="Q320" s="121"/>
      <c r="T320" s="121"/>
      <c r="U320" s="121"/>
      <c r="V320" s="121"/>
      <c r="W320" s="121"/>
      <c r="X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K320" s="32"/>
    </row>
    <row r="321" spans="1:37" x14ac:dyDescent="0.25">
      <c r="A321" s="132"/>
      <c r="B321" s="135"/>
      <c r="C321" s="111"/>
      <c r="D321" s="111"/>
      <c r="E321" s="136"/>
      <c r="F321" s="43"/>
      <c r="Q321" s="121"/>
      <c r="T321" s="121"/>
      <c r="U321" s="121"/>
      <c r="V321" s="121"/>
      <c r="W321" s="121"/>
      <c r="X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K321" s="32"/>
    </row>
    <row r="322" spans="1:37" x14ac:dyDescent="0.25">
      <c r="A322" s="132"/>
      <c r="B322" s="135"/>
      <c r="C322" s="111"/>
      <c r="D322" s="111"/>
      <c r="E322" s="136"/>
      <c r="F322" s="43"/>
      <c r="Q322" s="121"/>
      <c r="T322" s="121"/>
      <c r="U322" s="121"/>
      <c r="V322" s="121"/>
      <c r="W322" s="121"/>
      <c r="X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K322" s="32"/>
    </row>
    <row r="323" spans="1:37" x14ac:dyDescent="0.25">
      <c r="A323" s="132"/>
      <c r="B323" s="135"/>
      <c r="C323" s="111"/>
      <c r="D323" s="111"/>
      <c r="E323" s="136"/>
      <c r="F323" s="43"/>
      <c r="Q323" s="121"/>
      <c r="T323" s="121"/>
      <c r="U323" s="121"/>
      <c r="V323" s="121"/>
      <c r="W323" s="121"/>
      <c r="X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K323" s="32"/>
    </row>
    <row r="324" spans="1:37" x14ac:dyDescent="0.25">
      <c r="A324" s="132"/>
      <c r="B324" s="135"/>
      <c r="C324" s="111"/>
      <c r="D324" s="111"/>
      <c r="E324" s="136"/>
      <c r="F324" s="43"/>
      <c r="Q324" s="121"/>
      <c r="T324" s="121"/>
      <c r="U324" s="121"/>
      <c r="V324" s="121"/>
      <c r="W324" s="121"/>
      <c r="X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K324" s="32"/>
    </row>
    <row r="325" spans="1:37" x14ac:dyDescent="0.25">
      <c r="A325" s="132"/>
      <c r="B325" s="135"/>
      <c r="C325" s="111"/>
      <c r="D325" s="111"/>
      <c r="E325" s="136"/>
      <c r="F325" s="43"/>
      <c r="Q325" s="121"/>
      <c r="T325" s="121"/>
      <c r="U325" s="121"/>
      <c r="V325" s="121"/>
      <c r="W325" s="121"/>
      <c r="X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K325" s="32"/>
    </row>
    <row r="326" spans="1:37" x14ac:dyDescent="0.25">
      <c r="A326" s="132"/>
      <c r="B326" s="135"/>
      <c r="C326" s="111"/>
      <c r="D326" s="111"/>
      <c r="E326" s="136"/>
      <c r="F326" s="43"/>
      <c r="Q326" s="121"/>
      <c r="T326" s="121"/>
      <c r="U326" s="121"/>
      <c r="V326" s="121"/>
      <c r="W326" s="121"/>
      <c r="X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K326" s="32"/>
    </row>
    <row r="327" spans="1:37" x14ac:dyDescent="0.25">
      <c r="A327" s="132"/>
      <c r="B327" s="135"/>
      <c r="C327" s="111"/>
      <c r="D327" s="111"/>
      <c r="E327" s="136"/>
      <c r="F327" s="43"/>
      <c r="Q327" s="121"/>
      <c r="T327" s="121"/>
      <c r="U327" s="121"/>
      <c r="V327" s="121"/>
      <c r="W327" s="121"/>
      <c r="X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K327" s="32"/>
    </row>
    <row r="328" spans="1:37" x14ac:dyDescent="0.25">
      <c r="A328" s="132"/>
      <c r="B328" s="135"/>
      <c r="C328" s="111"/>
      <c r="D328" s="111"/>
      <c r="E328" s="136"/>
      <c r="F328" s="43"/>
      <c r="Q328" s="121"/>
      <c r="T328" s="121"/>
      <c r="U328" s="121"/>
      <c r="V328" s="121"/>
      <c r="W328" s="121"/>
      <c r="X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K328" s="32"/>
    </row>
    <row r="329" spans="1:37" x14ac:dyDescent="0.25">
      <c r="A329" s="132"/>
      <c r="B329" s="135"/>
      <c r="C329" s="111"/>
      <c r="D329" s="111"/>
      <c r="E329" s="136"/>
      <c r="F329" s="43"/>
      <c r="Q329" s="121"/>
      <c r="T329" s="121"/>
      <c r="U329" s="121"/>
      <c r="V329" s="121"/>
      <c r="W329" s="121"/>
      <c r="X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K329" s="32"/>
    </row>
    <row r="330" spans="1:37" x14ac:dyDescent="0.25">
      <c r="A330" s="132"/>
      <c r="B330" s="135"/>
      <c r="C330" s="111"/>
      <c r="D330" s="111"/>
      <c r="E330" s="136"/>
      <c r="F330" s="43"/>
      <c r="Q330" s="121"/>
      <c r="T330" s="121"/>
      <c r="U330" s="121"/>
      <c r="V330" s="121"/>
      <c r="W330" s="121"/>
      <c r="X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K330" s="32"/>
    </row>
    <row r="331" spans="1:37" x14ac:dyDescent="0.25">
      <c r="A331" s="132"/>
      <c r="B331" s="135"/>
      <c r="C331" s="111"/>
      <c r="D331" s="111"/>
      <c r="E331" s="136"/>
      <c r="F331" s="43"/>
      <c r="Q331" s="121"/>
      <c r="T331" s="121"/>
      <c r="U331" s="121"/>
      <c r="V331" s="121"/>
      <c r="W331" s="121"/>
      <c r="X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K331" s="32"/>
    </row>
    <row r="332" spans="1:37" x14ac:dyDescent="0.25">
      <c r="A332" s="132"/>
      <c r="B332" s="135"/>
      <c r="C332" s="111"/>
      <c r="D332" s="111"/>
      <c r="E332" s="136"/>
      <c r="F332" s="43"/>
      <c r="Q332" s="121"/>
      <c r="T332" s="121"/>
      <c r="U332" s="121"/>
      <c r="V332" s="121"/>
      <c r="W332" s="121"/>
      <c r="X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K332" s="32"/>
    </row>
    <row r="333" spans="1:37" x14ac:dyDescent="0.25">
      <c r="A333" s="132"/>
      <c r="B333" s="135"/>
      <c r="C333" s="111"/>
      <c r="D333" s="111"/>
      <c r="E333" s="136"/>
      <c r="F333" s="43"/>
      <c r="Q333" s="121"/>
      <c r="T333" s="121"/>
      <c r="U333" s="121"/>
      <c r="V333" s="121"/>
      <c r="W333" s="121"/>
      <c r="X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K333" s="32"/>
    </row>
    <row r="334" spans="1:37" x14ac:dyDescent="0.25">
      <c r="A334" s="132"/>
      <c r="B334" s="135"/>
      <c r="C334" s="111"/>
      <c r="D334" s="111"/>
      <c r="E334" s="136"/>
      <c r="F334" s="43"/>
      <c r="Q334" s="121"/>
      <c r="T334" s="121"/>
      <c r="U334" s="121"/>
      <c r="V334" s="121"/>
      <c r="W334" s="121"/>
      <c r="X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K334" s="32"/>
    </row>
    <row r="335" spans="1:37" x14ac:dyDescent="0.25">
      <c r="A335" s="132"/>
      <c r="B335" s="135"/>
      <c r="C335" s="111"/>
      <c r="D335" s="111"/>
      <c r="E335" s="136"/>
      <c r="F335" s="43"/>
      <c r="Q335" s="121"/>
      <c r="T335" s="121"/>
      <c r="U335" s="121"/>
      <c r="V335" s="121"/>
      <c r="W335" s="121"/>
      <c r="X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K335" s="32"/>
    </row>
    <row r="336" spans="1:37" x14ac:dyDescent="0.25">
      <c r="A336" s="132"/>
      <c r="B336" s="135"/>
      <c r="C336" s="111"/>
      <c r="D336" s="111"/>
      <c r="E336" s="136"/>
      <c r="F336" s="43"/>
      <c r="Q336" s="121"/>
      <c r="T336" s="121"/>
      <c r="U336" s="121"/>
      <c r="V336" s="121"/>
      <c r="W336" s="121"/>
      <c r="X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K336" s="32"/>
    </row>
    <row r="337" spans="1:37" x14ac:dyDescent="0.25">
      <c r="A337" s="132"/>
      <c r="B337" s="135"/>
      <c r="C337" s="111"/>
      <c r="D337" s="111"/>
      <c r="E337" s="136"/>
      <c r="F337" s="43"/>
      <c r="Q337" s="121"/>
      <c r="T337" s="121"/>
      <c r="U337" s="121"/>
      <c r="V337" s="121"/>
      <c r="W337" s="121"/>
      <c r="X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K337" s="32"/>
    </row>
    <row r="338" spans="1:37" x14ac:dyDescent="0.25">
      <c r="A338" s="132"/>
      <c r="B338" s="135"/>
      <c r="C338" s="111"/>
      <c r="D338" s="111"/>
      <c r="E338" s="136"/>
      <c r="F338" s="43"/>
      <c r="Q338" s="121"/>
      <c r="T338" s="121"/>
      <c r="U338" s="121"/>
      <c r="V338" s="121"/>
      <c r="W338" s="121"/>
      <c r="X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K338" s="32"/>
    </row>
    <row r="339" spans="1:37" x14ac:dyDescent="0.25">
      <c r="A339" s="132"/>
      <c r="B339" s="135"/>
      <c r="C339" s="111"/>
      <c r="D339" s="111"/>
      <c r="E339" s="136"/>
      <c r="F339" s="43"/>
      <c r="Q339" s="121"/>
      <c r="T339" s="121"/>
      <c r="U339" s="121"/>
      <c r="V339" s="121"/>
      <c r="W339" s="121"/>
      <c r="X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K339" s="32"/>
    </row>
    <row r="340" spans="1:37" x14ac:dyDescent="0.25">
      <c r="A340" s="132"/>
      <c r="B340" s="135"/>
      <c r="C340" s="111"/>
      <c r="D340" s="111"/>
      <c r="E340" s="136"/>
      <c r="F340" s="43"/>
      <c r="Q340" s="121"/>
      <c r="T340" s="121"/>
      <c r="U340" s="121"/>
      <c r="V340" s="121"/>
      <c r="W340" s="121"/>
      <c r="X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K340" s="32"/>
    </row>
    <row r="341" spans="1:37" x14ac:dyDescent="0.25">
      <c r="A341" s="132"/>
      <c r="B341" s="135"/>
      <c r="C341" s="111"/>
      <c r="D341" s="111"/>
      <c r="E341" s="136"/>
      <c r="F341" s="43"/>
      <c r="Q341" s="121"/>
      <c r="T341" s="121"/>
      <c r="U341" s="121"/>
      <c r="V341" s="121"/>
      <c r="W341" s="121"/>
      <c r="X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K341" s="32"/>
    </row>
    <row r="342" spans="1:37" x14ac:dyDescent="0.25">
      <c r="A342" s="132"/>
      <c r="B342" s="135"/>
      <c r="C342" s="111"/>
      <c r="D342" s="111"/>
      <c r="E342" s="136"/>
      <c r="F342" s="43"/>
      <c r="Q342" s="121"/>
      <c r="T342" s="121"/>
      <c r="U342" s="121"/>
      <c r="V342" s="121"/>
      <c r="W342" s="121"/>
      <c r="X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K342" s="32"/>
    </row>
    <row r="343" spans="1:37" x14ac:dyDescent="0.25">
      <c r="A343" s="132"/>
      <c r="B343" s="135"/>
      <c r="C343" s="111"/>
      <c r="D343" s="111"/>
      <c r="E343" s="136"/>
      <c r="F343" s="43"/>
      <c r="Q343" s="121"/>
      <c r="T343" s="121"/>
      <c r="U343" s="121"/>
      <c r="V343" s="121"/>
      <c r="W343" s="121"/>
      <c r="X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K343" s="32"/>
    </row>
    <row r="344" spans="1:37" x14ac:dyDescent="0.25">
      <c r="A344" s="132"/>
      <c r="B344" s="135"/>
      <c r="C344" s="111"/>
      <c r="D344" s="111"/>
      <c r="E344" s="136"/>
      <c r="F344" s="43"/>
      <c r="Q344" s="121"/>
      <c r="T344" s="121"/>
      <c r="U344" s="121"/>
      <c r="V344" s="121"/>
      <c r="W344" s="121"/>
      <c r="X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K344" s="32"/>
    </row>
    <row r="345" spans="1:37" x14ac:dyDescent="0.25">
      <c r="A345" s="132"/>
      <c r="B345" s="135"/>
      <c r="C345" s="111"/>
      <c r="D345" s="111"/>
      <c r="E345" s="136"/>
      <c r="F345" s="43"/>
      <c r="Q345" s="121"/>
      <c r="T345" s="121"/>
      <c r="U345" s="121"/>
      <c r="V345" s="121"/>
      <c r="W345" s="121"/>
      <c r="X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K345" s="32"/>
    </row>
    <row r="346" spans="1:37" x14ac:dyDescent="0.25">
      <c r="A346" s="132"/>
      <c r="B346" s="135"/>
      <c r="C346" s="111"/>
      <c r="D346" s="111"/>
      <c r="E346" s="136"/>
      <c r="F346" s="43"/>
      <c r="Q346" s="121"/>
      <c r="T346" s="121"/>
      <c r="U346" s="121"/>
      <c r="V346" s="121"/>
      <c r="W346" s="121"/>
      <c r="X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K346" s="32"/>
    </row>
    <row r="347" spans="1:37" x14ac:dyDescent="0.25">
      <c r="A347" s="132"/>
      <c r="B347" s="135"/>
      <c r="C347" s="111"/>
      <c r="D347" s="111"/>
      <c r="E347" s="136"/>
      <c r="F347" s="43"/>
      <c r="Q347" s="121"/>
      <c r="T347" s="121"/>
      <c r="U347" s="121"/>
      <c r="V347" s="121"/>
      <c r="W347" s="121"/>
      <c r="X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K347" s="32"/>
    </row>
    <row r="348" spans="1:37" x14ac:dyDescent="0.25">
      <c r="A348" s="132"/>
      <c r="B348" s="135"/>
      <c r="C348" s="111"/>
      <c r="D348" s="111"/>
      <c r="E348" s="136"/>
      <c r="F348" s="43"/>
      <c r="Q348" s="121"/>
      <c r="T348" s="121"/>
      <c r="U348" s="121"/>
      <c r="V348" s="121"/>
      <c r="W348" s="121"/>
      <c r="X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K348" s="32"/>
    </row>
    <row r="349" spans="1:37" x14ac:dyDescent="0.25">
      <c r="A349" s="132"/>
      <c r="B349" s="135"/>
      <c r="C349" s="111"/>
      <c r="D349" s="111"/>
      <c r="E349" s="136"/>
      <c r="F349" s="43"/>
      <c r="Q349" s="121"/>
      <c r="T349" s="121"/>
      <c r="U349" s="121"/>
      <c r="V349" s="121"/>
      <c r="W349" s="121"/>
      <c r="X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K349" s="32"/>
    </row>
    <row r="350" spans="1:37" x14ac:dyDescent="0.25">
      <c r="A350" s="132"/>
      <c r="B350" s="135"/>
      <c r="C350" s="111"/>
      <c r="D350" s="111"/>
      <c r="E350" s="136"/>
      <c r="F350" s="43"/>
      <c r="Q350" s="121"/>
      <c r="T350" s="121"/>
      <c r="U350" s="121"/>
      <c r="V350" s="121"/>
      <c r="W350" s="121"/>
      <c r="X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K350" s="32"/>
    </row>
    <row r="351" spans="1:37" x14ac:dyDescent="0.25">
      <c r="A351" s="132"/>
      <c r="B351" s="135"/>
      <c r="C351" s="111"/>
      <c r="D351" s="111"/>
      <c r="E351" s="136"/>
      <c r="F351" s="43"/>
      <c r="Q351" s="121"/>
      <c r="T351" s="121"/>
      <c r="U351" s="121"/>
      <c r="V351" s="121"/>
      <c r="W351" s="121"/>
      <c r="X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K351" s="32"/>
    </row>
    <row r="352" spans="1:37" x14ac:dyDescent="0.25">
      <c r="A352" s="132"/>
      <c r="B352" s="135"/>
      <c r="C352" s="111"/>
      <c r="D352" s="111"/>
      <c r="E352" s="136"/>
      <c r="F352" s="43"/>
      <c r="Q352" s="121"/>
      <c r="T352" s="121"/>
      <c r="U352" s="121"/>
      <c r="V352" s="121"/>
      <c r="W352" s="121"/>
      <c r="X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K352" s="32"/>
    </row>
    <row r="353" spans="1:37" x14ac:dyDescent="0.25">
      <c r="A353" s="132"/>
      <c r="B353" s="135"/>
      <c r="C353" s="111"/>
      <c r="D353" s="111"/>
      <c r="E353" s="136"/>
      <c r="F353" s="43"/>
      <c r="Q353" s="121"/>
      <c r="T353" s="121"/>
      <c r="U353" s="121"/>
      <c r="V353" s="121"/>
      <c r="W353" s="121"/>
      <c r="X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K353" s="32"/>
    </row>
    <row r="354" spans="1:37" x14ac:dyDescent="0.25">
      <c r="A354" s="132"/>
      <c r="B354" s="135"/>
      <c r="C354" s="111"/>
      <c r="D354" s="111"/>
      <c r="E354" s="136"/>
      <c r="F354" s="43"/>
      <c r="Q354" s="121"/>
      <c r="T354" s="121"/>
      <c r="U354" s="121"/>
      <c r="V354" s="121"/>
      <c r="W354" s="121"/>
      <c r="X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K354" s="32"/>
    </row>
    <row r="355" spans="1:37" x14ac:dyDescent="0.25">
      <c r="A355" s="132"/>
      <c r="B355" s="135"/>
      <c r="C355" s="111"/>
      <c r="D355" s="111"/>
      <c r="E355" s="136"/>
      <c r="F355" s="43"/>
      <c r="Q355" s="121"/>
      <c r="T355" s="121"/>
      <c r="U355" s="121"/>
      <c r="V355" s="121"/>
      <c r="W355" s="121"/>
      <c r="X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K355" s="32"/>
    </row>
    <row r="356" spans="1:37" x14ac:dyDescent="0.25">
      <c r="A356" s="132"/>
      <c r="B356" s="135"/>
      <c r="C356" s="111"/>
      <c r="D356" s="111"/>
      <c r="E356" s="136"/>
      <c r="F356" s="43"/>
      <c r="Q356" s="121"/>
      <c r="T356" s="121"/>
      <c r="U356" s="121"/>
      <c r="V356" s="121"/>
      <c r="W356" s="121"/>
      <c r="X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K356" s="32"/>
    </row>
    <row r="357" spans="1:37" x14ac:dyDescent="0.25">
      <c r="A357" s="132"/>
      <c r="B357" s="135"/>
      <c r="C357" s="111"/>
      <c r="D357" s="111"/>
      <c r="E357" s="136"/>
      <c r="F357" s="43"/>
      <c r="Q357" s="121"/>
      <c r="T357" s="121"/>
      <c r="U357" s="121"/>
      <c r="V357" s="121"/>
      <c r="W357" s="121"/>
      <c r="X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K357" s="32"/>
    </row>
    <row r="358" spans="1:37" x14ac:dyDescent="0.25">
      <c r="A358" s="132"/>
      <c r="B358" s="135"/>
      <c r="C358" s="111"/>
      <c r="D358" s="111"/>
      <c r="E358" s="136"/>
      <c r="F358" s="43"/>
      <c r="Q358" s="121"/>
      <c r="T358" s="121"/>
      <c r="U358" s="121"/>
      <c r="V358" s="121"/>
      <c r="W358" s="121"/>
      <c r="X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K358" s="32"/>
    </row>
    <row r="359" spans="1:37" x14ac:dyDescent="0.25">
      <c r="A359" s="132"/>
      <c r="B359" s="135"/>
      <c r="C359" s="111"/>
      <c r="D359" s="111"/>
      <c r="E359" s="136"/>
      <c r="F359" s="43"/>
      <c r="Q359" s="121"/>
      <c r="T359" s="121"/>
      <c r="U359" s="121"/>
      <c r="V359" s="121"/>
      <c r="W359" s="121"/>
      <c r="X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K359" s="32"/>
    </row>
    <row r="360" spans="1:37" x14ac:dyDescent="0.25">
      <c r="A360" s="132"/>
      <c r="B360" s="135"/>
      <c r="C360" s="111"/>
      <c r="D360" s="111"/>
      <c r="E360" s="136"/>
      <c r="F360" s="43"/>
      <c r="Q360" s="121"/>
      <c r="T360" s="121"/>
      <c r="U360" s="121"/>
      <c r="V360" s="121"/>
      <c r="W360" s="121"/>
      <c r="X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K360" s="32"/>
    </row>
    <row r="361" spans="1:37" x14ac:dyDescent="0.25">
      <c r="A361" s="132"/>
      <c r="B361" s="135"/>
      <c r="C361" s="111"/>
      <c r="D361" s="111"/>
      <c r="E361" s="136"/>
      <c r="F361" s="43"/>
      <c r="Q361" s="121"/>
      <c r="T361" s="121"/>
      <c r="U361" s="121"/>
      <c r="V361" s="121"/>
      <c r="W361" s="121"/>
      <c r="X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K361" s="32"/>
    </row>
    <row r="362" spans="1:37" x14ac:dyDescent="0.25">
      <c r="A362" s="132"/>
      <c r="B362" s="135"/>
      <c r="C362" s="111"/>
      <c r="D362" s="111"/>
      <c r="E362" s="136"/>
      <c r="F362" s="43"/>
      <c r="Q362" s="121"/>
      <c r="T362" s="121"/>
      <c r="U362" s="121"/>
      <c r="V362" s="121"/>
      <c r="W362" s="121"/>
      <c r="X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K362" s="32"/>
    </row>
    <row r="363" spans="1:37" x14ac:dyDescent="0.25">
      <c r="A363" s="132"/>
      <c r="B363" s="135"/>
      <c r="C363" s="111"/>
      <c r="D363" s="111"/>
      <c r="E363" s="136"/>
      <c r="F363" s="43"/>
      <c r="Q363" s="121"/>
      <c r="T363" s="121"/>
      <c r="U363" s="121"/>
      <c r="V363" s="121"/>
      <c r="W363" s="121"/>
      <c r="X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K363" s="32"/>
    </row>
    <row r="364" spans="1:37" x14ac:dyDescent="0.25">
      <c r="A364" s="132"/>
      <c r="B364" s="135"/>
      <c r="C364" s="111"/>
      <c r="D364" s="111"/>
      <c r="E364" s="136"/>
      <c r="F364" s="43"/>
      <c r="Q364" s="121"/>
      <c r="T364" s="121"/>
      <c r="U364" s="121"/>
      <c r="V364" s="121"/>
      <c r="W364" s="121"/>
      <c r="X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K364" s="32"/>
    </row>
    <row r="365" spans="1:37" x14ac:dyDescent="0.25">
      <c r="A365" s="132"/>
      <c r="B365" s="135"/>
      <c r="C365" s="111"/>
      <c r="D365" s="111"/>
      <c r="E365" s="136"/>
      <c r="F365" s="43"/>
      <c r="Q365" s="121"/>
      <c r="T365" s="121"/>
      <c r="U365" s="121"/>
      <c r="V365" s="121"/>
      <c r="W365" s="121"/>
      <c r="X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K365" s="32"/>
    </row>
    <row r="366" spans="1:37" x14ac:dyDescent="0.25">
      <c r="A366" s="132"/>
      <c r="B366" s="135"/>
      <c r="C366" s="111"/>
      <c r="D366" s="111"/>
      <c r="E366" s="136"/>
      <c r="F366" s="43"/>
      <c r="Q366" s="121"/>
      <c r="T366" s="121"/>
      <c r="U366" s="121"/>
      <c r="V366" s="121"/>
      <c r="W366" s="121"/>
      <c r="X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K366" s="32"/>
    </row>
    <row r="367" spans="1:37" x14ac:dyDescent="0.25">
      <c r="A367" s="132"/>
      <c r="B367" s="135"/>
      <c r="C367" s="111"/>
      <c r="D367" s="111"/>
      <c r="E367" s="136"/>
      <c r="F367" s="43"/>
      <c r="Q367" s="121"/>
      <c r="T367" s="121"/>
      <c r="U367" s="121"/>
      <c r="V367" s="121"/>
      <c r="W367" s="121"/>
      <c r="X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K367" s="32"/>
    </row>
    <row r="368" spans="1:37" x14ac:dyDescent="0.25">
      <c r="A368" s="132"/>
      <c r="B368" s="135"/>
      <c r="C368" s="111"/>
      <c r="D368" s="111"/>
      <c r="E368" s="136"/>
      <c r="F368" s="43"/>
      <c r="Q368" s="121"/>
      <c r="T368" s="121"/>
      <c r="U368" s="121"/>
      <c r="V368" s="121"/>
      <c r="W368" s="121"/>
      <c r="X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K368" s="32"/>
    </row>
    <row r="369" spans="1:37" x14ac:dyDescent="0.25">
      <c r="A369" s="132"/>
      <c r="B369" s="135"/>
      <c r="C369" s="111"/>
      <c r="D369" s="111"/>
      <c r="E369" s="136"/>
      <c r="F369" s="43"/>
      <c r="Q369" s="121"/>
      <c r="T369" s="121"/>
      <c r="U369" s="121"/>
      <c r="V369" s="121"/>
      <c r="W369" s="121"/>
      <c r="X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K369" s="32"/>
    </row>
    <row r="370" spans="1:37" x14ac:dyDescent="0.25">
      <c r="A370" s="132"/>
      <c r="B370" s="135"/>
      <c r="C370" s="111"/>
      <c r="D370" s="111"/>
      <c r="E370" s="136"/>
      <c r="F370" s="43"/>
      <c r="Q370" s="121"/>
      <c r="T370" s="121"/>
      <c r="U370" s="121"/>
      <c r="V370" s="121"/>
      <c r="W370" s="121"/>
      <c r="X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K370" s="32"/>
    </row>
    <row r="371" spans="1:37" x14ac:dyDescent="0.25">
      <c r="A371" s="132"/>
      <c r="B371" s="135"/>
      <c r="C371" s="111"/>
      <c r="D371" s="111"/>
      <c r="E371" s="136"/>
      <c r="F371" s="43"/>
      <c r="Q371" s="121"/>
      <c r="T371" s="121"/>
      <c r="U371" s="121"/>
      <c r="V371" s="121"/>
      <c r="W371" s="121"/>
      <c r="X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K371" s="32"/>
    </row>
    <row r="372" spans="1:37" x14ac:dyDescent="0.25">
      <c r="A372" s="132"/>
      <c r="B372" s="135"/>
      <c r="C372" s="111"/>
      <c r="D372" s="111"/>
      <c r="E372" s="136"/>
      <c r="F372" s="43"/>
      <c r="Q372" s="121"/>
      <c r="T372" s="121"/>
      <c r="U372" s="121"/>
      <c r="V372" s="121"/>
      <c r="W372" s="121"/>
      <c r="X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K372" s="32"/>
    </row>
    <row r="373" spans="1:37" x14ac:dyDescent="0.25">
      <c r="A373" s="132"/>
      <c r="B373" s="135"/>
      <c r="C373" s="111"/>
      <c r="D373" s="111"/>
      <c r="E373" s="136"/>
      <c r="F373" s="43"/>
      <c r="Q373" s="121"/>
      <c r="T373" s="121"/>
      <c r="U373" s="121"/>
      <c r="V373" s="121"/>
      <c r="W373" s="121"/>
      <c r="X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K373" s="32"/>
    </row>
    <row r="374" spans="1:37" x14ac:dyDescent="0.25">
      <c r="A374" s="132"/>
      <c r="B374" s="135"/>
      <c r="C374" s="111"/>
      <c r="D374" s="111"/>
      <c r="E374" s="136"/>
      <c r="F374" s="43"/>
      <c r="Q374" s="121"/>
      <c r="T374" s="121"/>
      <c r="U374" s="121"/>
      <c r="V374" s="121"/>
      <c r="W374" s="121"/>
      <c r="X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K374" s="32"/>
    </row>
    <row r="375" spans="1:37" x14ac:dyDescent="0.25">
      <c r="A375" s="132"/>
      <c r="B375" s="135"/>
      <c r="C375" s="111"/>
      <c r="D375" s="111"/>
      <c r="E375" s="136"/>
      <c r="F375" s="43"/>
      <c r="Q375" s="121"/>
      <c r="T375" s="121"/>
      <c r="U375" s="121"/>
      <c r="V375" s="121"/>
      <c r="W375" s="121"/>
      <c r="X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K375" s="32"/>
    </row>
    <row r="376" spans="1:37" x14ac:dyDescent="0.25">
      <c r="A376" s="132"/>
      <c r="B376" s="135"/>
      <c r="C376" s="111"/>
      <c r="D376" s="111"/>
      <c r="E376" s="136"/>
      <c r="F376" s="43"/>
      <c r="Q376" s="121"/>
      <c r="T376" s="121"/>
      <c r="U376" s="121"/>
      <c r="V376" s="121"/>
      <c r="W376" s="121"/>
      <c r="X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K376" s="32"/>
    </row>
    <row r="377" spans="1:37" x14ac:dyDescent="0.25">
      <c r="A377" s="132"/>
      <c r="B377" s="135"/>
      <c r="C377" s="111"/>
      <c r="D377" s="111"/>
      <c r="E377" s="136"/>
      <c r="F377" s="43"/>
      <c r="Q377" s="121"/>
      <c r="T377" s="121"/>
      <c r="U377" s="121"/>
      <c r="V377" s="121"/>
      <c r="W377" s="121"/>
      <c r="X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K377" s="32"/>
    </row>
    <row r="378" spans="1:37" x14ac:dyDescent="0.25">
      <c r="A378" s="132"/>
      <c r="B378" s="135"/>
      <c r="C378" s="111"/>
      <c r="D378" s="111"/>
      <c r="E378" s="136"/>
      <c r="F378" s="43"/>
      <c r="Q378" s="121"/>
      <c r="T378" s="121"/>
      <c r="U378" s="121"/>
      <c r="V378" s="121"/>
      <c r="W378" s="121"/>
      <c r="X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K378" s="32"/>
    </row>
    <row r="379" spans="1:37" x14ac:dyDescent="0.25">
      <c r="A379" s="132"/>
      <c r="B379" s="135"/>
      <c r="C379" s="111"/>
      <c r="D379" s="111"/>
      <c r="E379" s="136"/>
      <c r="F379" s="43"/>
      <c r="Q379" s="121"/>
      <c r="T379" s="121"/>
      <c r="U379" s="121"/>
      <c r="V379" s="121"/>
      <c r="W379" s="121"/>
      <c r="X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K379" s="32"/>
    </row>
    <row r="380" spans="1:37" x14ac:dyDescent="0.25">
      <c r="A380" s="132"/>
      <c r="B380" s="135"/>
      <c r="C380" s="111"/>
      <c r="D380" s="111"/>
      <c r="E380" s="136"/>
      <c r="F380" s="43"/>
      <c r="Q380" s="121"/>
      <c r="T380" s="121"/>
      <c r="U380" s="121"/>
      <c r="V380" s="121"/>
      <c r="W380" s="121"/>
      <c r="X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K380" s="32"/>
    </row>
    <row r="381" spans="1:37" x14ac:dyDescent="0.25">
      <c r="A381" s="132"/>
      <c r="B381" s="135"/>
      <c r="C381" s="111"/>
      <c r="D381" s="111"/>
      <c r="E381" s="136"/>
      <c r="F381" s="43"/>
      <c r="Q381" s="121"/>
      <c r="T381" s="121"/>
      <c r="U381" s="121"/>
      <c r="V381" s="121"/>
      <c r="W381" s="121"/>
      <c r="X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K381" s="32"/>
    </row>
    <row r="382" spans="1:37" x14ac:dyDescent="0.25">
      <c r="A382" s="132"/>
      <c r="B382" s="135"/>
      <c r="C382" s="111"/>
      <c r="D382" s="111"/>
      <c r="E382" s="136"/>
      <c r="F382" s="43"/>
      <c r="Q382" s="121"/>
      <c r="T382" s="121"/>
      <c r="U382" s="121"/>
      <c r="V382" s="121"/>
      <c r="W382" s="121"/>
      <c r="X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K382" s="32"/>
    </row>
    <row r="383" spans="1:37" x14ac:dyDescent="0.25">
      <c r="A383" s="132"/>
      <c r="B383" s="135"/>
      <c r="C383" s="111"/>
      <c r="D383" s="111"/>
      <c r="E383" s="136"/>
      <c r="F383" s="43"/>
      <c r="Q383" s="121"/>
      <c r="T383" s="121"/>
      <c r="U383" s="121"/>
      <c r="V383" s="121"/>
      <c r="W383" s="121"/>
      <c r="X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K383" s="32"/>
    </row>
    <row r="384" spans="1:37" x14ac:dyDescent="0.25">
      <c r="A384" s="132"/>
      <c r="B384" s="135"/>
      <c r="C384" s="111"/>
      <c r="D384" s="111"/>
      <c r="E384" s="136"/>
      <c r="F384" s="43"/>
      <c r="Q384" s="121"/>
      <c r="T384" s="121"/>
      <c r="U384" s="121"/>
      <c r="V384" s="121"/>
      <c r="W384" s="121"/>
      <c r="X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K384" s="32"/>
    </row>
    <row r="385" spans="1:37" x14ac:dyDescent="0.25">
      <c r="A385" s="132"/>
      <c r="B385" s="135"/>
      <c r="C385" s="111"/>
      <c r="D385" s="111"/>
      <c r="E385" s="136"/>
      <c r="F385" s="43"/>
      <c r="Q385" s="121"/>
      <c r="T385" s="121"/>
      <c r="U385" s="121"/>
      <c r="V385" s="121"/>
      <c r="W385" s="121"/>
      <c r="X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K385" s="32"/>
    </row>
    <row r="386" spans="1:37" x14ac:dyDescent="0.25">
      <c r="A386" s="132"/>
      <c r="B386" s="135"/>
      <c r="C386" s="111"/>
      <c r="D386" s="111"/>
      <c r="E386" s="136"/>
      <c r="F386" s="43"/>
      <c r="Q386" s="121"/>
      <c r="T386" s="121"/>
      <c r="U386" s="121"/>
      <c r="V386" s="121"/>
      <c r="W386" s="121"/>
      <c r="X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K386" s="32"/>
    </row>
    <row r="387" spans="1:37" x14ac:dyDescent="0.25">
      <c r="A387" s="132"/>
      <c r="B387" s="135"/>
      <c r="C387" s="111"/>
      <c r="D387" s="111"/>
      <c r="E387" s="136"/>
      <c r="F387" s="43"/>
      <c r="Q387" s="121"/>
      <c r="T387" s="121"/>
      <c r="U387" s="121"/>
      <c r="V387" s="121"/>
      <c r="W387" s="121"/>
      <c r="X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K387" s="32"/>
    </row>
    <row r="388" spans="1:37" x14ac:dyDescent="0.25">
      <c r="A388" s="132"/>
      <c r="B388" s="135"/>
      <c r="C388" s="111"/>
      <c r="D388" s="111"/>
      <c r="E388" s="136"/>
      <c r="F388" s="43"/>
      <c r="Q388" s="121"/>
      <c r="T388" s="121"/>
      <c r="U388" s="121"/>
      <c r="V388" s="121"/>
      <c r="W388" s="121"/>
      <c r="X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K388" s="32"/>
    </row>
    <row r="389" spans="1:37" x14ac:dyDescent="0.25">
      <c r="A389" s="132"/>
      <c r="B389" s="135"/>
      <c r="C389" s="111"/>
      <c r="D389" s="111"/>
      <c r="E389" s="136"/>
      <c r="F389" s="43"/>
      <c r="Q389" s="121"/>
      <c r="T389" s="121"/>
      <c r="U389" s="121"/>
      <c r="V389" s="121"/>
      <c r="W389" s="121"/>
      <c r="X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K389" s="32"/>
    </row>
    <row r="390" spans="1:37" x14ac:dyDescent="0.25">
      <c r="A390" s="132"/>
      <c r="B390" s="135"/>
      <c r="C390" s="111"/>
      <c r="D390" s="111"/>
      <c r="E390" s="136"/>
      <c r="F390" s="43"/>
      <c r="Q390" s="121"/>
      <c r="T390" s="121"/>
      <c r="U390" s="121"/>
      <c r="V390" s="121"/>
      <c r="W390" s="121"/>
      <c r="X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K390" s="32"/>
    </row>
    <row r="391" spans="1:37" x14ac:dyDescent="0.25">
      <c r="A391" s="132"/>
      <c r="B391" s="135"/>
      <c r="C391" s="111"/>
      <c r="D391" s="111"/>
      <c r="E391" s="136"/>
      <c r="F391" s="43"/>
      <c r="Q391" s="121"/>
      <c r="T391" s="121"/>
      <c r="U391" s="121"/>
      <c r="V391" s="121"/>
      <c r="W391" s="121"/>
      <c r="X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K391" s="32"/>
    </row>
    <row r="392" spans="1:37" x14ac:dyDescent="0.25">
      <c r="A392" s="132"/>
      <c r="B392" s="135"/>
      <c r="C392" s="111"/>
      <c r="D392" s="111"/>
      <c r="E392" s="136"/>
      <c r="F392" s="43"/>
      <c r="Q392" s="121"/>
      <c r="T392" s="121"/>
      <c r="U392" s="121"/>
      <c r="V392" s="121"/>
      <c r="W392" s="121"/>
      <c r="X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K392" s="32"/>
    </row>
    <row r="393" spans="1:37" x14ac:dyDescent="0.25">
      <c r="A393" s="132"/>
      <c r="B393" s="135"/>
      <c r="C393" s="111"/>
      <c r="D393" s="111"/>
      <c r="E393" s="136"/>
      <c r="F393" s="43"/>
      <c r="Q393" s="121"/>
      <c r="T393" s="121"/>
      <c r="U393" s="121"/>
      <c r="V393" s="121"/>
      <c r="W393" s="121"/>
      <c r="X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K393" s="32"/>
    </row>
    <row r="394" spans="1:37" x14ac:dyDescent="0.25">
      <c r="A394" s="132"/>
      <c r="B394" s="135"/>
      <c r="C394" s="111"/>
      <c r="D394" s="111"/>
      <c r="E394" s="136"/>
      <c r="F394" s="43"/>
      <c r="Q394" s="121"/>
      <c r="T394" s="121"/>
      <c r="U394" s="121"/>
      <c r="V394" s="121"/>
      <c r="W394" s="121"/>
      <c r="X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K394" s="32"/>
    </row>
    <row r="395" spans="1:37" x14ac:dyDescent="0.25">
      <c r="A395" s="132"/>
      <c r="B395" s="135"/>
      <c r="C395" s="111"/>
      <c r="D395" s="111"/>
      <c r="E395" s="136"/>
      <c r="F395" s="43"/>
      <c r="Q395" s="121"/>
      <c r="T395" s="121"/>
      <c r="U395" s="121"/>
      <c r="V395" s="121"/>
      <c r="W395" s="121"/>
      <c r="X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K395" s="32"/>
    </row>
    <row r="396" spans="1:37" x14ac:dyDescent="0.25">
      <c r="A396" s="132"/>
      <c r="B396" s="135"/>
      <c r="C396" s="111"/>
      <c r="D396" s="111"/>
      <c r="E396" s="136"/>
      <c r="F396" s="43"/>
      <c r="Q396" s="121"/>
      <c r="T396" s="121"/>
      <c r="U396" s="121"/>
      <c r="V396" s="121"/>
      <c r="W396" s="121"/>
      <c r="X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K396" s="32"/>
    </row>
    <row r="397" spans="1:37" x14ac:dyDescent="0.25">
      <c r="A397" s="132"/>
      <c r="B397" s="135"/>
      <c r="C397" s="111"/>
      <c r="D397" s="111"/>
      <c r="E397" s="136"/>
      <c r="F397" s="43"/>
      <c r="Q397" s="121"/>
      <c r="T397" s="121"/>
      <c r="U397" s="121"/>
      <c r="V397" s="121"/>
      <c r="W397" s="121"/>
      <c r="X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K397" s="32"/>
    </row>
    <row r="398" spans="1:37" x14ac:dyDescent="0.25">
      <c r="A398" s="132"/>
      <c r="B398" s="135"/>
      <c r="C398" s="111"/>
      <c r="D398" s="111"/>
      <c r="E398" s="136"/>
      <c r="F398" s="43"/>
      <c r="Q398" s="121"/>
      <c r="T398" s="121"/>
      <c r="U398" s="121"/>
      <c r="V398" s="121"/>
      <c r="W398" s="121"/>
      <c r="X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K398" s="32"/>
    </row>
    <row r="399" spans="1:37" x14ac:dyDescent="0.25">
      <c r="A399" s="132"/>
      <c r="B399" s="135"/>
      <c r="C399" s="111"/>
      <c r="D399" s="111"/>
      <c r="E399" s="136"/>
      <c r="F399" s="43"/>
      <c r="Q399" s="121"/>
      <c r="T399" s="121"/>
      <c r="U399" s="121"/>
      <c r="V399" s="121"/>
      <c r="W399" s="121"/>
      <c r="X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K399" s="32"/>
    </row>
    <row r="400" spans="1:37" x14ac:dyDescent="0.25">
      <c r="A400" s="132"/>
      <c r="B400" s="135"/>
      <c r="C400" s="111"/>
      <c r="D400" s="111"/>
      <c r="E400" s="136"/>
      <c r="F400" s="43"/>
      <c r="Q400" s="121"/>
      <c r="T400" s="121"/>
      <c r="U400" s="121"/>
      <c r="V400" s="121"/>
      <c r="W400" s="121"/>
      <c r="X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K400" s="32"/>
    </row>
    <row r="401" spans="1:37" x14ac:dyDescent="0.25">
      <c r="A401" s="132"/>
      <c r="B401" s="135"/>
      <c r="C401" s="111"/>
      <c r="D401" s="111"/>
      <c r="E401" s="136"/>
      <c r="F401" s="43"/>
      <c r="Q401" s="121"/>
      <c r="T401" s="121"/>
      <c r="U401" s="121"/>
      <c r="V401" s="121"/>
      <c r="W401" s="121"/>
      <c r="X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K401" s="32"/>
    </row>
    <row r="402" spans="1:37" x14ac:dyDescent="0.25">
      <c r="A402" s="132"/>
      <c r="B402" s="135"/>
      <c r="C402" s="111"/>
      <c r="D402" s="111"/>
      <c r="E402" s="136"/>
      <c r="F402" s="43"/>
      <c r="Q402" s="121"/>
      <c r="T402" s="121"/>
      <c r="U402" s="121"/>
      <c r="V402" s="121"/>
      <c r="W402" s="121"/>
      <c r="X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K402" s="32"/>
    </row>
    <row r="403" spans="1:37" x14ac:dyDescent="0.25">
      <c r="A403" s="132"/>
      <c r="B403" s="135"/>
      <c r="C403" s="111"/>
      <c r="D403" s="111"/>
      <c r="E403" s="136"/>
      <c r="F403" s="43"/>
      <c r="Q403" s="121"/>
      <c r="T403" s="121"/>
      <c r="U403" s="121"/>
      <c r="V403" s="121"/>
      <c r="W403" s="121"/>
      <c r="X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K403" s="32"/>
    </row>
    <row r="404" spans="1:37" x14ac:dyDescent="0.25">
      <c r="A404" s="132"/>
      <c r="B404" s="135"/>
      <c r="C404" s="111"/>
      <c r="D404" s="111"/>
      <c r="E404" s="136"/>
      <c r="F404" s="43"/>
      <c r="Q404" s="121"/>
      <c r="T404" s="121"/>
      <c r="U404" s="121"/>
      <c r="V404" s="121"/>
      <c r="W404" s="121"/>
      <c r="X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K404" s="32"/>
    </row>
    <row r="405" spans="1:37" x14ac:dyDescent="0.25">
      <c r="A405" s="132"/>
      <c r="B405" s="135"/>
      <c r="C405" s="111"/>
      <c r="D405" s="111"/>
      <c r="E405" s="136"/>
      <c r="F405" s="43"/>
      <c r="Q405" s="121"/>
      <c r="T405" s="121"/>
      <c r="U405" s="121"/>
      <c r="V405" s="121"/>
      <c r="W405" s="121"/>
      <c r="X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K405" s="32"/>
    </row>
    <row r="406" spans="1:37" x14ac:dyDescent="0.25">
      <c r="A406" s="132"/>
      <c r="B406" s="135"/>
      <c r="C406" s="111"/>
      <c r="D406" s="111"/>
      <c r="E406" s="136"/>
      <c r="F406" s="43"/>
      <c r="Q406" s="121"/>
      <c r="T406" s="121"/>
      <c r="U406" s="121"/>
      <c r="V406" s="121"/>
      <c r="W406" s="121"/>
      <c r="X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K406" s="32"/>
    </row>
    <row r="407" spans="1:37" x14ac:dyDescent="0.25">
      <c r="A407" s="132"/>
      <c r="B407" s="135"/>
      <c r="C407" s="111"/>
      <c r="D407" s="111"/>
      <c r="E407" s="136"/>
      <c r="F407" s="43"/>
      <c r="Q407" s="121"/>
      <c r="T407" s="121"/>
      <c r="U407" s="121"/>
      <c r="V407" s="121"/>
      <c r="W407" s="121"/>
      <c r="X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K407" s="32"/>
    </row>
    <row r="408" spans="1:37" x14ac:dyDescent="0.25">
      <c r="A408" s="132"/>
      <c r="B408" s="135"/>
      <c r="C408" s="111"/>
      <c r="D408" s="111"/>
      <c r="E408" s="136"/>
      <c r="F408" s="43"/>
      <c r="Q408" s="121"/>
      <c r="T408" s="121"/>
      <c r="U408" s="121"/>
      <c r="V408" s="121"/>
      <c r="W408" s="121"/>
      <c r="X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K408" s="32"/>
    </row>
    <row r="409" spans="1:37" x14ac:dyDescent="0.25">
      <c r="A409" s="132"/>
      <c r="B409" s="135"/>
      <c r="C409" s="111"/>
      <c r="D409" s="111"/>
      <c r="E409" s="136"/>
      <c r="F409" s="43"/>
      <c r="Q409" s="121"/>
      <c r="T409" s="121"/>
      <c r="U409" s="121"/>
      <c r="V409" s="121"/>
      <c r="W409" s="121"/>
      <c r="X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K409" s="32"/>
    </row>
    <row r="410" spans="1:37" x14ac:dyDescent="0.25">
      <c r="A410" s="132"/>
      <c r="B410" s="135"/>
      <c r="C410" s="111"/>
      <c r="D410" s="111"/>
      <c r="E410" s="136"/>
      <c r="F410" s="43"/>
      <c r="Q410" s="121"/>
      <c r="T410" s="121"/>
      <c r="U410" s="121"/>
      <c r="V410" s="121"/>
      <c r="W410" s="121"/>
      <c r="X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K410" s="32"/>
    </row>
    <row r="411" spans="1:37" x14ac:dyDescent="0.25">
      <c r="A411" s="132"/>
      <c r="B411" s="135"/>
      <c r="C411" s="111"/>
      <c r="D411" s="111"/>
      <c r="E411" s="136"/>
      <c r="F411" s="43"/>
      <c r="Q411" s="121"/>
      <c r="T411" s="121"/>
      <c r="U411" s="121"/>
      <c r="V411" s="121"/>
      <c r="W411" s="121"/>
      <c r="X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K411" s="32"/>
    </row>
    <row r="412" spans="1:37" x14ac:dyDescent="0.25">
      <c r="A412" s="132"/>
      <c r="B412" s="135"/>
      <c r="C412" s="111"/>
      <c r="D412" s="111"/>
      <c r="E412" s="136"/>
      <c r="F412" s="43"/>
      <c r="Q412" s="121"/>
      <c r="T412" s="121"/>
      <c r="U412" s="121"/>
      <c r="V412" s="121"/>
      <c r="W412" s="121"/>
      <c r="X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K412" s="32"/>
    </row>
    <row r="413" spans="1:37" x14ac:dyDescent="0.25">
      <c r="A413" s="132"/>
      <c r="B413" s="135"/>
      <c r="C413" s="111"/>
      <c r="D413" s="111"/>
      <c r="E413" s="136"/>
      <c r="F413" s="43"/>
      <c r="Q413" s="121"/>
      <c r="T413" s="121"/>
      <c r="U413" s="121"/>
      <c r="V413" s="121"/>
      <c r="W413" s="121"/>
      <c r="X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K413" s="32"/>
    </row>
    <row r="414" spans="1:37" x14ac:dyDescent="0.25">
      <c r="A414" s="132"/>
      <c r="B414" s="135"/>
      <c r="C414" s="111"/>
      <c r="D414" s="111"/>
      <c r="E414" s="136"/>
      <c r="F414" s="43"/>
      <c r="Q414" s="121"/>
      <c r="T414" s="121"/>
      <c r="U414" s="121"/>
      <c r="V414" s="121"/>
      <c r="W414" s="121"/>
      <c r="X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K414" s="32"/>
    </row>
    <row r="415" spans="1:37" x14ac:dyDescent="0.25">
      <c r="A415" s="132"/>
      <c r="B415" s="135"/>
      <c r="C415" s="111"/>
      <c r="D415" s="111"/>
      <c r="E415" s="136"/>
      <c r="F415" s="43"/>
      <c r="Q415" s="121"/>
      <c r="T415" s="121"/>
      <c r="U415" s="121"/>
      <c r="V415" s="121"/>
      <c r="W415" s="121"/>
      <c r="X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K415" s="32"/>
    </row>
    <row r="416" spans="1:37" x14ac:dyDescent="0.25">
      <c r="A416" s="132"/>
      <c r="B416" s="135"/>
      <c r="C416" s="111"/>
      <c r="D416" s="111"/>
      <c r="E416" s="136"/>
      <c r="F416" s="43"/>
      <c r="Q416" s="121"/>
      <c r="T416" s="121"/>
      <c r="U416" s="121"/>
      <c r="V416" s="121"/>
      <c r="W416" s="121"/>
      <c r="X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K416" s="32"/>
    </row>
    <row r="417" spans="1:37" x14ac:dyDescent="0.25">
      <c r="A417" s="132"/>
      <c r="B417" s="135"/>
      <c r="C417" s="111"/>
      <c r="D417" s="111"/>
      <c r="E417" s="136"/>
      <c r="F417" s="43"/>
      <c r="Q417" s="121"/>
      <c r="T417" s="121"/>
      <c r="U417" s="121"/>
      <c r="V417" s="121"/>
      <c r="W417" s="121"/>
      <c r="X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K417" s="32"/>
    </row>
    <row r="418" spans="1:37" x14ac:dyDescent="0.25">
      <c r="A418" s="132"/>
      <c r="B418" s="135"/>
      <c r="C418" s="111"/>
      <c r="D418" s="111"/>
      <c r="E418" s="136"/>
      <c r="F418" s="43"/>
      <c r="Q418" s="121"/>
      <c r="T418" s="121"/>
      <c r="U418" s="121"/>
      <c r="V418" s="121"/>
      <c r="W418" s="121"/>
      <c r="X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K418" s="32"/>
    </row>
    <row r="419" spans="1:37" x14ac:dyDescent="0.25">
      <c r="A419" s="132"/>
      <c r="B419" s="135"/>
      <c r="C419" s="111"/>
      <c r="D419" s="111"/>
      <c r="E419" s="136"/>
      <c r="F419" s="43"/>
      <c r="Q419" s="121"/>
      <c r="T419" s="121"/>
      <c r="U419" s="121"/>
      <c r="V419" s="121"/>
      <c r="W419" s="121"/>
      <c r="X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K419" s="32"/>
    </row>
    <row r="420" spans="1:37" x14ac:dyDescent="0.25">
      <c r="A420" s="132"/>
      <c r="B420" s="135"/>
      <c r="C420" s="111"/>
      <c r="D420" s="111"/>
      <c r="E420" s="136"/>
      <c r="F420" s="43"/>
      <c r="Q420" s="121"/>
      <c r="T420" s="121"/>
      <c r="U420" s="121"/>
      <c r="V420" s="121"/>
      <c r="W420" s="121"/>
      <c r="X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K420" s="32"/>
    </row>
    <row r="421" spans="1:37" x14ac:dyDescent="0.25">
      <c r="A421" s="132"/>
      <c r="B421" s="135"/>
      <c r="C421" s="111"/>
      <c r="D421" s="111"/>
      <c r="E421" s="136"/>
      <c r="F421" s="43"/>
      <c r="Q421" s="121"/>
      <c r="T421" s="121"/>
      <c r="U421" s="121"/>
      <c r="V421" s="121"/>
      <c r="W421" s="121"/>
      <c r="X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K421" s="32"/>
    </row>
    <row r="422" spans="1:37" x14ac:dyDescent="0.25">
      <c r="A422" s="132"/>
      <c r="B422" s="135"/>
      <c r="C422" s="111"/>
      <c r="D422" s="111"/>
      <c r="E422" s="136"/>
      <c r="F422" s="43"/>
      <c r="Q422" s="121"/>
      <c r="T422" s="121"/>
      <c r="U422" s="121"/>
      <c r="V422" s="121"/>
      <c r="W422" s="121"/>
      <c r="X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K422" s="32"/>
    </row>
    <row r="423" spans="1:37" x14ac:dyDescent="0.25">
      <c r="A423" s="132"/>
      <c r="B423" s="135"/>
      <c r="C423" s="111"/>
      <c r="D423" s="111"/>
      <c r="E423" s="136"/>
      <c r="F423" s="43"/>
      <c r="Q423" s="121"/>
      <c r="T423" s="121"/>
      <c r="U423" s="121"/>
      <c r="V423" s="121"/>
      <c r="W423" s="121"/>
      <c r="X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K423" s="32"/>
    </row>
    <row r="424" spans="1:37" x14ac:dyDescent="0.25">
      <c r="A424" s="132"/>
      <c r="B424" s="135"/>
      <c r="C424" s="111"/>
      <c r="D424" s="111"/>
      <c r="E424" s="136"/>
      <c r="F424" s="43"/>
      <c r="Q424" s="121"/>
      <c r="T424" s="121"/>
      <c r="U424" s="121"/>
      <c r="V424" s="121"/>
      <c r="W424" s="121"/>
      <c r="X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K424" s="32"/>
    </row>
    <row r="425" spans="1:37" x14ac:dyDescent="0.25">
      <c r="A425" s="132"/>
      <c r="B425" s="135"/>
      <c r="C425" s="111"/>
      <c r="D425" s="111"/>
      <c r="E425" s="136"/>
      <c r="F425" s="43"/>
      <c r="Q425" s="121"/>
      <c r="T425" s="121"/>
      <c r="U425" s="121"/>
      <c r="V425" s="121"/>
      <c r="W425" s="121"/>
      <c r="X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K425" s="32"/>
    </row>
    <row r="426" spans="1:37" x14ac:dyDescent="0.25">
      <c r="A426" s="132"/>
      <c r="B426" s="135"/>
      <c r="C426" s="111"/>
      <c r="D426" s="111"/>
      <c r="E426" s="136"/>
      <c r="F426" s="43"/>
      <c r="Q426" s="121"/>
      <c r="T426" s="121"/>
      <c r="U426" s="121"/>
      <c r="V426" s="121"/>
      <c r="W426" s="121"/>
      <c r="X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K426" s="32"/>
    </row>
    <row r="427" spans="1:37" x14ac:dyDescent="0.25">
      <c r="A427" s="132"/>
      <c r="B427" s="135"/>
      <c r="C427" s="111"/>
      <c r="D427" s="111"/>
      <c r="E427" s="136"/>
      <c r="F427" s="43"/>
      <c r="Q427" s="121"/>
      <c r="T427" s="121"/>
      <c r="U427" s="121"/>
      <c r="V427" s="121"/>
      <c r="W427" s="121"/>
      <c r="X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K427" s="32"/>
    </row>
    <row r="428" spans="1:37" x14ac:dyDescent="0.25">
      <c r="A428" s="132"/>
      <c r="B428" s="135"/>
      <c r="C428" s="111"/>
      <c r="D428" s="111"/>
      <c r="E428" s="136"/>
      <c r="F428" s="43"/>
      <c r="Q428" s="121"/>
      <c r="T428" s="121"/>
      <c r="U428" s="121"/>
      <c r="V428" s="121"/>
      <c r="W428" s="121"/>
      <c r="X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K428" s="32"/>
    </row>
    <row r="429" spans="1:37" x14ac:dyDescent="0.25">
      <c r="A429" s="132"/>
      <c r="B429" s="135"/>
      <c r="C429" s="111"/>
      <c r="D429" s="111"/>
      <c r="E429" s="136"/>
      <c r="F429" s="43"/>
      <c r="Q429" s="121"/>
      <c r="T429" s="121"/>
      <c r="U429" s="121"/>
      <c r="V429" s="121"/>
      <c r="W429" s="121"/>
      <c r="X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K429" s="32"/>
    </row>
    <row r="430" spans="1:37" x14ac:dyDescent="0.25">
      <c r="A430" s="132"/>
      <c r="B430" s="135"/>
      <c r="C430" s="111"/>
      <c r="D430" s="111"/>
      <c r="E430" s="136"/>
      <c r="F430" s="43"/>
      <c r="Q430" s="121"/>
      <c r="T430" s="121"/>
      <c r="U430" s="121"/>
      <c r="V430" s="121"/>
      <c r="W430" s="121"/>
      <c r="X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K430" s="32"/>
    </row>
    <row r="431" spans="1:37" x14ac:dyDescent="0.25">
      <c r="A431" s="132"/>
      <c r="B431" s="135"/>
      <c r="C431" s="111"/>
      <c r="D431" s="111"/>
      <c r="E431" s="136"/>
      <c r="F431" s="43"/>
      <c r="Q431" s="121"/>
      <c r="T431" s="121"/>
      <c r="U431" s="121"/>
      <c r="V431" s="121"/>
      <c r="W431" s="121"/>
      <c r="X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K431" s="32"/>
    </row>
    <row r="432" spans="1:37" x14ac:dyDescent="0.25">
      <c r="A432" s="132"/>
      <c r="B432" s="135"/>
      <c r="C432" s="111"/>
      <c r="D432" s="111"/>
      <c r="E432" s="136"/>
      <c r="F432" s="43"/>
      <c r="Q432" s="121"/>
      <c r="T432" s="121"/>
      <c r="U432" s="121"/>
      <c r="V432" s="121"/>
      <c r="W432" s="121"/>
      <c r="X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K432" s="32"/>
    </row>
    <row r="433" spans="1:37" x14ac:dyDescent="0.25">
      <c r="A433" s="132"/>
      <c r="B433" s="135"/>
      <c r="C433" s="111"/>
      <c r="D433" s="111"/>
      <c r="E433" s="136"/>
      <c r="F433" s="43"/>
      <c r="Q433" s="121"/>
      <c r="T433" s="121"/>
      <c r="U433" s="121"/>
      <c r="V433" s="121"/>
      <c r="W433" s="121"/>
      <c r="X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K433" s="32"/>
    </row>
    <row r="434" spans="1:37" x14ac:dyDescent="0.25">
      <c r="A434" s="132"/>
      <c r="B434" s="135"/>
      <c r="C434" s="111"/>
      <c r="D434" s="111"/>
      <c r="E434" s="136"/>
      <c r="F434" s="43"/>
      <c r="Q434" s="121"/>
      <c r="T434" s="121"/>
      <c r="U434" s="121"/>
      <c r="V434" s="121"/>
      <c r="W434" s="121"/>
      <c r="X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K434" s="32"/>
    </row>
    <row r="435" spans="1:37" x14ac:dyDescent="0.25">
      <c r="A435" s="132"/>
      <c r="B435" s="135"/>
      <c r="C435" s="111"/>
      <c r="D435" s="111"/>
      <c r="E435" s="136"/>
      <c r="F435" s="43"/>
      <c r="Q435" s="121"/>
      <c r="T435" s="121"/>
      <c r="U435" s="121"/>
      <c r="V435" s="121"/>
      <c r="W435" s="121"/>
      <c r="X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K435" s="32"/>
    </row>
    <row r="436" spans="1:37" x14ac:dyDescent="0.25">
      <c r="A436" s="132"/>
      <c r="B436" s="135"/>
      <c r="C436" s="111"/>
      <c r="D436" s="111"/>
      <c r="E436" s="136"/>
      <c r="F436" s="43"/>
      <c r="Q436" s="121"/>
      <c r="T436" s="121"/>
      <c r="U436" s="121"/>
      <c r="V436" s="121"/>
      <c r="W436" s="121"/>
      <c r="X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K436" s="32"/>
    </row>
    <row r="437" spans="1:37" x14ac:dyDescent="0.25">
      <c r="A437" s="132"/>
      <c r="B437" s="135"/>
      <c r="C437" s="111"/>
      <c r="D437" s="111"/>
      <c r="E437" s="136"/>
      <c r="F437" s="43"/>
      <c r="Q437" s="121"/>
      <c r="T437" s="121"/>
      <c r="U437" s="121"/>
      <c r="V437" s="121"/>
      <c r="W437" s="121"/>
      <c r="X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K437" s="32"/>
    </row>
    <row r="438" spans="1:37" x14ac:dyDescent="0.25">
      <c r="A438" s="132"/>
      <c r="B438" s="135"/>
      <c r="C438" s="111"/>
      <c r="D438" s="111"/>
      <c r="E438" s="136"/>
      <c r="F438" s="43"/>
      <c r="Q438" s="121"/>
      <c r="T438" s="121"/>
      <c r="U438" s="121"/>
      <c r="V438" s="121"/>
      <c r="W438" s="121"/>
      <c r="X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K438" s="32"/>
    </row>
    <row r="439" spans="1:37" x14ac:dyDescent="0.25">
      <c r="A439" s="132"/>
      <c r="B439" s="135"/>
      <c r="C439" s="111"/>
      <c r="D439" s="111"/>
      <c r="E439" s="136"/>
      <c r="F439" s="43"/>
      <c r="Q439" s="121"/>
      <c r="T439" s="121"/>
      <c r="U439" s="121"/>
      <c r="V439" s="121"/>
      <c r="W439" s="121"/>
      <c r="X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K439" s="32"/>
    </row>
    <row r="440" spans="1:37" x14ac:dyDescent="0.25">
      <c r="A440" s="132"/>
      <c r="B440" s="135"/>
      <c r="C440" s="111"/>
      <c r="D440" s="111"/>
      <c r="E440" s="136"/>
      <c r="F440" s="43"/>
      <c r="Q440" s="121"/>
      <c r="T440" s="121"/>
      <c r="U440" s="121"/>
      <c r="V440" s="121"/>
      <c r="W440" s="121"/>
      <c r="X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K440" s="32"/>
    </row>
    <row r="441" spans="1:37" x14ac:dyDescent="0.25">
      <c r="A441" s="132"/>
      <c r="B441" s="135"/>
      <c r="C441" s="111"/>
      <c r="D441" s="111"/>
      <c r="E441" s="136"/>
      <c r="F441" s="43"/>
      <c r="Q441" s="121"/>
      <c r="T441" s="121"/>
      <c r="U441" s="121"/>
      <c r="V441" s="121"/>
      <c r="W441" s="121"/>
      <c r="X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K441" s="32"/>
    </row>
    <row r="442" spans="1:37" x14ac:dyDescent="0.25">
      <c r="A442" s="132"/>
      <c r="B442" s="135"/>
      <c r="C442" s="111"/>
      <c r="D442" s="111"/>
      <c r="E442" s="136"/>
      <c r="F442" s="43"/>
      <c r="Q442" s="121"/>
      <c r="T442" s="121"/>
      <c r="U442" s="121"/>
      <c r="V442" s="121"/>
      <c r="W442" s="121"/>
      <c r="X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K442" s="32"/>
    </row>
    <row r="443" spans="1:37" x14ac:dyDescent="0.25">
      <c r="A443" s="132"/>
      <c r="B443" s="135"/>
      <c r="C443" s="111"/>
      <c r="D443" s="111"/>
      <c r="E443" s="136"/>
      <c r="F443" s="43"/>
      <c r="Q443" s="121"/>
      <c r="T443" s="121"/>
      <c r="U443" s="121"/>
      <c r="V443" s="121"/>
      <c r="W443" s="121"/>
      <c r="X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K443" s="32"/>
    </row>
    <row r="444" spans="1:37" x14ac:dyDescent="0.25">
      <c r="A444" s="132"/>
      <c r="B444" s="135"/>
      <c r="C444" s="111"/>
      <c r="D444" s="111"/>
      <c r="E444" s="136"/>
      <c r="F444" s="43"/>
      <c r="Q444" s="121"/>
      <c r="T444" s="121"/>
      <c r="U444" s="121"/>
      <c r="V444" s="121"/>
      <c r="W444" s="121"/>
      <c r="X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K444" s="32"/>
    </row>
    <row r="445" spans="1:37" x14ac:dyDescent="0.25">
      <c r="A445" s="132"/>
      <c r="B445" s="135"/>
      <c r="C445" s="111"/>
      <c r="D445" s="111"/>
      <c r="E445" s="136"/>
      <c r="F445" s="43"/>
      <c r="Q445" s="121"/>
      <c r="T445" s="121"/>
      <c r="U445" s="121"/>
      <c r="V445" s="121"/>
      <c r="W445" s="121"/>
      <c r="X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K445" s="32"/>
    </row>
    <row r="446" spans="1:37" x14ac:dyDescent="0.25">
      <c r="A446" s="132"/>
      <c r="B446" s="135"/>
      <c r="C446" s="111"/>
      <c r="D446" s="111"/>
      <c r="E446" s="136"/>
      <c r="F446" s="43"/>
      <c r="Q446" s="121"/>
      <c r="T446" s="121"/>
      <c r="U446" s="121"/>
      <c r="V446" s="121"/>
      <c r="W446" s="121"/>
      <c r="X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K446" s="32"/>
    </row>
    <row r="447" spans="1:37" x14ac:dyDescent="0.25">
      <c r="A447" s="132"/>
      <c r="B447" s="135"/>
      <c r="C447" s="111"/>
      <c r="D447" s="111"/>
      <c r="E447" s="136"/>
      <c r="F447" s="43"/>
      <c r="Q447" s="121"/>
      <c r="T447" s="121"/>
      <c r="U447" s="121"/>
      <c r="V447" s="121"/>
      <c r="W447" s="121"/>
      <c r="X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K447" s="32"/>
    </row>
    <row r="448" spans="1:37" x14ac:dyDescent="0.25">
      <c r="A448" s="132"/>
      <c r="B448" s="135"/>
      <c r="C448" s="111"/>
      <c r="D448" s="111"/>
      <c r="E448" s="136"/>
      <c r="F448" s="43"/>
      <c r="Q448" s="121"/>
      <c r="T448" s="121"/>
      <c r="U448" s="121"/>
      <c r="V448" s="121"/>
      <c r="W448" s="121"/>
      <c r="X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K448" s="32"/>
    </row>
    <row r="449" spans="1:37" x14ac:dyDescent="0.25">
      <c r="A449" s="132"/>
      <c r="B449" s="135"/>
      <c r="C449" s="111"/>
      <c r="D449" s="111"/>
      <c r="E449" s="136"/>
      <c r="F449" s="43"/>
      <c r="Q449" s="121"/>
      <c r="T449" s="121"/>
      <c r="U449" s="121"/>
      <c r="V449" s="121"/>
      <c r="W449" s="121"/>
      <c r="X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K449" s="32"/>
    </row>
    <row r="450" spans="1:37" x14ac:dyDescent="0.25">
      <c r="A450" s="132"/>
      <c r="B450" s="135"/>
      <c r="C450" s="111"/>
      <c r="D450" s="111"/>
      <c r="E450" s="136"/>
      <c r="F450" s="43"/>
      <c r="Q450" s="121"/>
      <c r="T450" s="121"/>
      <c r="U450" s="121"/>
      <c r="V450" s="121"/>
      <c r="W450" s="121"/>
      <c r="X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K450" s="32"/>
    </row>
    <row r="451" spans="1:37" x14ac:dyDescent="0.25">
      <c r="A451" s="132"/>
      <c r="B451" s="135"/>
      <c r="C451" s="111"/>
      <c r="D451" s="111"/>
      <c r="E451" s="136"/>
      <c r="F451" s="43"/>
      <c r="Q451" s="121"/>
      <c r="T451" s="121"/>
      <c r="U451" s="121"/>
      <c r="V451" s="121"/>
      <c r="W451" s="121"/>
      <c r="X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K451" s="32"/>
    </row>
    <row r="452" spans="1:37" x14ac:dyDescent="0.25">
      <c r="A452" s="132"/>
      <c r="B452" s="135"/>
      <c r="C452" s="111"/>
      <c r="D452" s="111"/>
      <c r="E452" s="136"/>
      <c r="F452" s="43"/>
      <c r="Q452" s="121"/>
      <c r="T452" s="121"/>
      <c r="U452" s="121"/>
      <c r="V452" s="121"/>
      <c r="W452" s="121"/>
      <c r="X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K452" s="32"/>
    </row>
    <row r="453" spans="1:37" x14ac:dyDescent="0.25">
      <c r="A453" s="132"/>
      <c r="B453" s="135"/>
      <c r="C453" s="111"/>
      <c r="D453" s="111"/>
      <c r="E453" s="136"/>
      <c r="F453" s="43"/>
      <c r="Q453" s="121"/>
      <c r="T453" s="121"/>
      <c r="U453" s="121"/>
      <c r="V453" s="121"/>
      <c r="W453" s="121"/>
      <c r="X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K453" s="32"/>
    </row>
    <row r="454" spans="1:37" x14ac:dyDescent="0.25">
      <c r="A454" s="132"/>
      <c r="B454" s="135"/>
      <c r="C454" s="111"/>
      <c r="D454" s="111"/>
      <c r="E454" s="136"/>
      <c r="F454" s="43"/>
      <c r="Q454" s="121"/>
      <c r="T454" s="121"/>
      <c r="U454" s="121"/>
      <c r="V454" s="121"/>
      <c r="W454" s="121"/>
      <c r="X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K454" s="32"/>
    </row>
    <row r="455" spans="1:37" x14ac:dyDescent="0.25">
      <c r="A455" s="132"/>
      <c r="B455" s="135"/>
      <c r="C455" s="111"/>
      <c r="D455" s="111"/>
      <c r="E455" s="136"/>
      <c r="F455" s="43"/>
      <c r="Q455" s="121"/>
      <c r="T455" s="121"/>
      <c r="U455" s="121"/>
      <c r="V455" s="121"/>
      <c r="W455" s="121"/>
      <c r="X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K455" s="32"/>
    </row>
    <row r="456" spans="1:37" x14ac:dyDescent="0.25">
      <c r="A456" s="132"/>
      <c r="B456" s="135"/>
      <c r="C456" s="111"/>
      <c r="D456" s="111"/>
      <c r="E456" s="136"/>
      <c r="F456" s="43"/>
      <c r="Q456" s="121"/>
      <c r="T456" s="121"/>
      <c r="U456" s="121"/>
      <c r="V456" s="121"/>
      <c r="W456" s="121"/>
      <c r="X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K456" s="32"/>
    </row>
    <row r="457" spans="1:37" x14ac:dyDescent="0.25">
      <c r="A457" s="132"/>
      <c r="B457" s="135"/>
      <c r="C457" s="111"/>
      <c r="D457" s="111"/>
      <c r="E457" s="136"/>
      <c r="F457" s="43"/>
      <c r="Q457" s="121"/>
      <c r="T457" s="121"/>
      <c r="U457" s="121"/>
      <c r="V457" s="121"/>
      <c r="W457" s="121"/>
      <c r="X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K457" s="32"/>
    </row>
    <row r="458" spans="1:37" x14ac:dyDescent="0.25">
      <c r="A458" s="132"/>
      <c r="B458" s="135"/>
      <c r="C458" s="111"/>
      <c r="D458" s="111"/>
      <c r="E458" s="136"/>
      <c r="F458" s="43"/>
      <c r="Q458" s="121"/>
      <c r="T458" s="121"/>
      <c r="U458" s="121"/>
      <c r="V458" s="121"/>
      <c r="W458" s="121"/>
      <c r="X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K458" s="32"/>
    </row>
    <row r="459" spans="1:37" x14ac:dyDescent="0.25">
      <c r="A459" s="132"/>
      <c r="B459" s="135"/>
      <c r="C459" s="111"/>
      <c r="D459" s="111"/>
      <c r="E459" s="136"/>
      <c r="F459" s="43"/>
      <c r="Q459" s="121"/>
      <c r="T459" s="121"/>
      <c r="U459" s="121"/>
      <c r="V459" s="121"/>
      <c r="W459" s="121"/>
      <c r="X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K459" s="32"/>
    </row>
    <row r="460" spans="1:37" x14ac:dyDescent="0.25">
      <c r="A460" s="132"/>
      <c r="B460" s="135"/>
      <c r="C460" s="111"/>
      <c r="D460" s="111"/>
      <c r="E460" s="136"/>
      <c r="F460" s="43"/>
      <c r="Q460" s="121"/>
      <c r="T460" s="121"/>
      <c r="U460" s="121"/>
      <c r="V460" s="121"/>
      <c r="W460" s="121"/>
      <c r="X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K460" s="32"/>
    </row>
    <row r="461" spans="1:37" x14ac:dyDescent="0.25">
      <c r="A461" s="132"/>
      <c r="B461" s="135"/>
      <c r="C461" s="111"/>
      <c r="D461" s="111"/>
      <c r="E461" s="136"/>
      <c r="F461" s="43"/>
      <c r="Q461" s="121"/>
      <c r="T461" s="121"/>
      <c r="U461" s="121"/>
      <c r="V461" s="121"/>
      <c r="W461" s="121"/>
      <c r="X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K461" s="32"/>
    </row>
    <row r="462" spans="1:37" x14ac:dyDescent="0.25">
      <c r="A462" s="132"/>
      <c r="B462" s="135"/>
      <c r="C462" s="111"/>
      <c r="D462" s="111"/>
      <c r="E462" s="136"/>
      <c r="F462" s="43"/>
      <c r="Q462" s="121"/>
      <c r="T462" s="121"/>
      <c r="U462" s="121"/>
      <c r="V462" s="121"/>
      <c r="W462" s="121"/>
      <c r="X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K462" s="32"/>
    </row>
    <row r="463" spans="1:37" x14ac:dyDescent="0.25">
      <c r="A463" s="132"/>
      <c r="B463" s="135"/>
      <c r="C463" s="111"/>
      <c r="D463" s="111"/>
      <c r="E463" s="136"/>
      <c r="F463" s="43"/>
      <c r="Q463" s="121"/>
      <c r="T463" s="121"/>
      <c r="U463" s="121"/>
      <c r="V463" s="121"/>
      <c r="W463" s="121"/>
      <c r="X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K463" s="32"/>
    </row>
    <row r="464" spans="1:37" x14ac:dyDescent="0.25">
      <c r="A464" s="132"/>
      <c r="B464" s="135"/>
      <c r="C464" s="111"/>
      <c r="D464" s="111"/>
      <c r="E464" s="136"/>
      <c r="F464" s="43"/>
      <c r="Q464" s="121"/>
      <c r="T464" s="121"/>
      <c r="U464" s="121"/>
      <c r="V464" s="121"/>
      <c r="W464" s="121"/>
      <c r="X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K464" s="32"/>
    </row>
    <row r="465" spans="1:37" x14ac:dyDescent="0.25">
      <c r="A465" s="132"/>
      <c r="B465" s="135"/>
      <c r="C465" s="111"/>
      <c r="D465" s="111"/>
      <c r="E465" s="136"/>
      <c r="F465" s="43"/>
      <c r="Q465" s="121"/>
      <c r="T465" s="121"/>
      <c r="U465" s="121"/>
      <c r="V465" s="121"/>
      <c r="W465" s="121"/>
      <c r="X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K465" s="32"/>
    </row>
    <row r="466" spans="1:37" x14ac:dyDescent="0.25">
      <c r="A466" s="132"/>
      <c r="B466" s="135"/>
      <c r="C466" s="111"/>
      <c r="D466" s="111"/>
      <c r="E466" s="136"/>
      <c r="F466" s="43"/>
      <c r="Q466" s="121"/>
      <c r="T466" s="121"/>
      <c r="U466" s="121"/>
      <c r="V466" s="121"/>
      <c r="W466" s="121"/>
      <c r="X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K466" s="32"/>
    </row>
    <row r="467" spans="1:37" x14ac:dyDescent="0.25">
      <c r="A467" s="132"/>
      <c r="B467" s="135"/>
      <c r="C467" s="111"/>
      <c r="D467" s="111"/>
      <c r="E467" s="136"/>
      <c r="F467" s="43"/>
      <c r="Q467" s="121"/>
      <c r="T467" s="121"/>
      <c r="U467" s="121"/>
      <c r="V467" s="121"/>
      <c r="W467" s="121"/>
      <c r="X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K467" s="32"/>
    </row>
    <row r="468" spans="1:37" x14ac:dyDescent="0.25">
      <c r="A468" s="132"/>
      <c r="B468" s="135"/>
      <c r="C468" s="111"/>
      <c r="D468" s="111"/>
      <c r="E468" s="136"/>
      <c r="F468" s="43"/>
      <c r="Q468" s="121"/>
      <c r="T468" s="121"/>
      <c r="U468" s="121"/>
      <c r="V468" s="121"/>
      <c r="W468" s="121"/>
      <c r="X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K468" s="32"/>
    </row>
    <row r="469" spans="1:37" x14ac:dyDescent="0.25">
      <c r="A469" s="132"/>
      <c r="B469" s="135"/>
      <c r="C469" s="111"/>
      <c r="D469" s="111"/>
      <c r="E469" s="136"/>
      <c r="F469" s="43"/>
      <c r="Q469" s="121"/>
      <c r="T469" s="121"/>
      <c r="U469" s="121"/>
      <c r="V469" s="121"/>
      <c r="W469" s="121"/>
      <c r="X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K469" s="32"/>
    </row>
    <row r="470" spans="1:37" x14ac:dyDescent="0.25">
      <c r="A470" s="132"/>
      <c r="B470" s="135"/>
      <c r="C470" s="111"/>
      <c r="D470" s="111"/>
      <c r="E470" s="136"/>
      <c r="F470" s="43"/>
      <c r="Q470" s="121"/>
      <c r="T470" s="121"/>
      <c r="U470" s="121"/>
      <c r="V470" s="121"/>
      <c r="W470" s="121"/>
      <c r="X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K470" s="32"/>
    </row>
    <row r="471" spans="1:37" x14ac:dyDescent="0.25">
      <c r="A471" s="132"/>
      <c r="B471" s="135"/>
      <c r="C471" s="111"/>
      <c r="D471" s="111"/>
      <c r="E471" s="136"/>
      <c r="F471" s="43"/>
      <c r="Q471" s="121"/>
      <c r="T471" s="121"/>
      <c r="U471" s="121"/>
      <c r="V471" s="121"/>
      <c r="W471" s="121"/>
      <c r="X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K471" s="32"/>
    </row>
    <row r="472" spans="1:37" x14ac:dyDescent="0.25">
      <c r="A472" s="132"/>
      <c r="B472" s="135"/>
      <c r="C472" s="111"/>
      <c r="D472" s="111"/>
      <c r="E472" s="136"/>
      <c r="F472" s="43"/>
      <c r="Q472" s="121"/>
      <c r="T472" s="121"/>
      <c r="U472" s="121"/>
      <c r="V472" s="121"/>
      <c r="W472" s="121"/>
      <c r="X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K472" s="32"/>
    </row>
    <row r="473" spans="1:37" x14ac:dyDescent="0.25">
      <c r="A473" s="132"/>
      <c r="B473" s="135"/>
      <c r="C473" s="111"/>
      <c r="D473" s="111"/>
      <c r="E473" s="136"/>
      <c r="F473" s="43"/>
      <c r="Q473" s="121"/>
      <c r="T473" s="121"/>
      <c r="U473" s="121"/>
      <c r="V473" s="121"/>
      <c r="W473" s="121"/>
      <c r="X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K473" s="32"/>
    </row>
    <row r="474" spans="1:37" x14ac:dyDescent="0.25">
      <c r="A474" s="132"/>
      <c r="B474" s="135"/>
      <c r="C474" s="111"/>
      <c r="D474" s="111"/>
      <c r="E474" s="136"/>
      <c r="F474" s="43"/>
      <c r="Q474" s="121"/>
      <c r="T474" s="121"/>
      <c r="U474" s="121"/>
      <c r="V474" s="121"/>
      <c r="W474" s="121"/>
      <c r="X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K474" s="32"/>
    </row>
    <row r="475" spans="1:37" x14ac:dyDescent="0.25">
      <c r="A475" s="132"/>
      <c r="B475" s="135"/>
      <c r="C475" s="111"/>
      <c r="D475" s="111"/>
      <c r="E475" s="136"/>
      <c r="F475" s="43"/>
      <c r="Q475" s="121"/>
      <c r="T475" s="121"/>
      <c r="U475" s="121"/>
      <c r="V475" s="121"/>
      <c r="W475" s="121"/>
      <c r="X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K475" s="32"/>
    </row>
    <row r="476" spans="1:37" x14ac:dyDescent="0.25">
      <c r="A476" s="132"/>
      <c r="B476" s="135"/>
      <c r="C476" s="111"/>
      <c r="D476" s="111"/>
      <c r="E476" s="136"/>
      <c r="F476" s="43"/>
      <c r="Q476" s="121"/>
      <c r="T476" s="121"/>
      <c r="U476" s="121"/>
      <c r="V476" s="121"/>
      <c r="W476" s="121"/>
      <c r="X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K476" s="32"/>
    </row>
    <row r="477" spans="1:37" x14ac:dyDescent="0.25">
      <c r="A477" s="132"/>
      <c r="B477" s="135"/>
      <c r="C477" s="111"/>
      <c r="D477" s="111"/>
      <c r="E477" s="136"/>
      <c r="F477" s="43"/>
      <c r="Q477" s="121"/>
      <c r="T477" s="121"/>
      <c r="U477" s="121"/>
      <c r="V477" s="121"/>
      <c r="W477" s="121"/>
      <c r="X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K477" s="32"/>
    </row>
    <row r="478" spans="1:37" x14ac:dyDescent="0.25">
      <c r="A478" s="132"/>
      <c r="B478" s="135"/>
      <c r="C478" s="111"/>
      <c r="D478" s="111"/>
      <c r="E478" s="136"/>
      <c r="F478" s="43"/>
      <c r="Q478" s="121"/>
      <c r="T478" s="121"/>
      <c r="U478" s="121"/>
      <c r="V478" s="121"/>
      <c r="W478" s="121"/>
      <c r="X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K478" s="32"/>
    </row>
    <row r="479" spans="1:37" x14ac:dyDescent="0.25">
      <c r="A479" s="132"/>
      <c r="B479" s="135"/>
      <c r="C479" s="111"/>
      <c r="D479" s="111"/>
      <c r="E479" s="136"/>
      <c r="F479" s="43"/>
      <c r="Q479" s="121"/>
      <c r="T479" s="121"/>
      <c r="U479" s="121"/>
      <c r="V479" s="121"/>
      <c r="W479" s="121"/>
      <c r="X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K479" s="32"/>
    </row>
    <row r="480" spans="1:37" x14ac:dyDescent="0.25">
      <c r="A480" s="132"/>
      <c r="B480" s="135"/>
      <c r="C480" s="111"/>
      <c r="D480" s="111"/>
      <c r="E480" s="136"/>
      <c r="F480" s="43"/>
      <c r="Q480" s="121"/>
      <c r="T480" s="121"/>
      <c r="U480" s="121"/>
      <c r="V480" s="121"/>
      <c r="W480" s="121"/>
      <c r="X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K480" s="32"/>
    </row>
    <row r="481" spans="1:37" x14ac:dyDescent="0.25">
      <c r="A481" s="132"/>
      <c r="B481" s="135"/>
      <c r="C481" s="111"/>
      <c r="D481" s="111"/>
      <c r="E481" s="136"/>
      <c r="F481" s="43"/>
      <c r="Q481" s="121"/>
      <c r="T481" s="121"/>
      <c r="U481" s="121"/>
      <c r="V481" s="121"/>
      <c r="W481" s="121"/>
      <c r="X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K481" s="32"/>
    </row>
    <row r="482" spans="1:37" x14ac:dyDescent="0.25">
      <c r="A482" s="132"/>
      <c r="B482" s="135"/>
      <c r="C482" s="111"/>
      <c r="D482" s="111"/>
      <c r="E482" s="136"/>
      <c r="F482" s="43"/>
      <c r="Q482" s="121"/>
      <c r="T482" s="121"/>
      <c r="U482" s="121"/>
      <c r="V482" s="121"/>
      <c r="W482" s="121"/>
      <c r="X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K482" s="32"/>
    </row>
    <row r="483" spans="1:37" x14ac:dyDescent="0.25">
      <c r="A483" s="132"/>
      <c r="B483" s="135"/>
      <c r="C483" s="111"/>
      <c r="D483" s="111"/>
      <c r="E483" s="136"/>
      <c r="F483" s="43"/>
      <c r="Q483" s="121"/>
      <c r="T483" s="121"/>
      <c r="U483" s="121"/>
      <c r="V483" s="121"/>
      <c r="W483" s="121"/>
      <c r="X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K483" s="32"/>
    </row>
    <row r="484" spans="1:37" x14ac:dyDescent="0.25">
      <c r="A484" s="132"/>
      <c r="B484" s="135"/>
      <c r="C484" s="111"/>
      <c r="D484" s="111"/>
      <c r="E484" s="136"/>
      <c r="F484" s="43"/>
      <c r="Q484" s="121"/>
      <c r="T484" s="121"/>
      <c r="U484" s="121"/>
      <c r="V484" s="121"/>
      <c r="W484" s="121"/>
      <c r="X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K484" s="32"/>
    </row>
    <row r="485" spans="1:37" x14ac:dyDescent="0.25">
      <c r="A485" s="132"/>
      <c r="B485" s="135"/>
      <c r="C485" s="111"/>
      <c r="D485" s="111"/>
      <c r="E485" s="136"/>
      <c r="F485" s="43"/>
      <c r="Q485" s="121"/>
      <c r="T485" s="121"/>
      <c r="U485" s="121"/>
      <c r="V485" s="121"/>
      <c r="W485" s="121"/>
      <c r="X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K485" s="32"/>
    </row>
    <row r="486" spans="1:37" x14ac:dyDescent="0.25">
      <c r="A486" s="132"/>
      <c r="B486" s="135"/>
      <c r="C486" s="111"/>
      <c r="D486" s="111"/>
      <c r="E486" s="136"/>
      <c r="F486" s="43"/>
      <c r="Q486" s="121"/>
      <c r="T486" s="121"/>
      <c r="U486" s="121"/>
      <c r="V486" s="121"/>
      <c r="W486" s="121"/>
      <c r="X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K486" s="32"/>
    </row>
    <row r="487" spans="1:37" x14ac:dyDescent="0.25">
      <c r="A487" s="132"/>
      <c r="B487" s="135"/>
      <c r="C487" s="111"/>
      <c r="D487" s="111"/>
      <c r="E487" s="136"/>
      <c r="F487" s="43"/>
      <c r="Q487" s="121"/>
      <c r="T487" s="121"/>
      <c r="U487" s="121"/>
      <c r="V487" s="121"/>
      <c r="W487" s="121"/>
      <c r="X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K487" s="32"/>
    </row>
    <row r="488" spans="1:37" x14ac:dyDescent="0.25">
      <c r="A488" s="132"/>
      <c r="B488" s="135"/>
      <c r="C488" s="111"/>
      <c r="D488" s="111"/>
      <c r="E488" s="136"/>
      <c r="F488" s="43"/>
      <c r="Q488" s="121"/>
      <c r="T488" s="121"/>
      <c r="U488" s="121"/>
      <c r="V488" s="121"/>
      <c r="W488" s="121"/>
      <c r="X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K488" s="32"/>
    </row>
    <row r="489" spans="1:37" x14ac:dyDescent="0.25">
      <c r="A489" s="132"/>
      <c r="B489" s="135"/>
      <c r="C489" s="111"/>
      <c r="D489" s="111"/>
      <c r="E489" s="136"/>
      <c r="F489" s="43"/>
      <c r="Q489" s="121"/>
      <c r="T489" s="121"/>
      <c r="U489" s="121"/>
      <c r="V489" s="121"/>
      <c r="W489" s="121"/>
      <c r="X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K489" s="32"/>
    </row>
    <row r="490" spans="1:37" x14ac:dyDescent="0.25">
      <c r="A490" s="132"/>
      <c r="B490" s="135"/>
      <c r="C490" s="111"/>
      <c r="D490" s="111"/>
      <c r="E490" s="136"/>
      <c r="F490" s="43"/>
      <c r="Q490" s="121"/>
      <c r="T490" s="121"/>
      <c r="U490" s="121"/>
      <c r="V490" s="121"/>
      <c r="W490" s="121"/>
      <c r="X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K490" s="32"/>
    </row>
    <row r="491" spans="1:37" x14ac:dyDescent="0.25">
      <c r="A491" s="132"/>
      <c r="B491" s="135"/>
      <c r="C491" s="111"/>
      <c r="D491" s="111"/>
      <c r="E491" s="136"/>
      <c r="F491" s="43"/>
      <c r="Q491" s="121"/>
      <c r="T491" s="121"/>
      <c r="U491" s="121"/>
      <c r="V491" s="121"/>
      <c r="W491" s="121"/>
      <c r="X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K491" s="32"/>
    </row>
    <row r="492" spans="1:37" x14ac:dyDescent="0.25">
      <c r="A492" s="132"/>
      <c r="B492" s="135"/>
      <c r="C492" s="111"/>
      <c r="D492" s="111"/>
      <c r="E492" s="136"/>
      <c r="F492" s="43"/>
      <c r="Q492" s="121"/>
      <c r="T492" s="121"/>
      <c r="U492" s="121"/>
      <c r="V492" s="121"/>
      <c r="W492" s="121"/>
      <c r="X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K492" s="32"/>
    </row>
    <row r="493" spans="1:37" x14ac:dyDescent="0.25">
      <c r="A493" s="132"/>
      <c r="B493" s="135"/>
      <c r="C493" s="111"/>
      <c r="D493" s="111"/>
      <c r="E493" s="136"/>
      <c r="F493" s="43"/>
      <c r="Q493" s="121"/>
      <c r="T493" s="121"/>
      <c r="U493" s="121"/>
      <c r="V493" s="121"/>
      <c r="W493" s="121"/>
      <c r="X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K493" s="32"/>
    </row>
    <row r="494" spans="1:37" x14ac:dyDescent="0.25">
      <c r="A494" s="132"/>
      <c r="B494" s="135"/>
      <c r="C494" s="111"/>
      <c r="D494" s="111"/>
      <c r="E494" s="136"/>
      <c r="F494" s="43"/>
      <c r="Q494" s="121"/>
      <c r="T494" s="121"/>
      <c r="U494" s="121"/>
      <c r="V494" s="121"/>
      <c r="W494" s="121"/>
      <c r="X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K494" s="32"/>
    </row>
    <row r="495" spans="1:37" x14ac:dyDescent="0.25">
      <c r="A495" s="132"/>
      <c r="B495" s="135"/>
      <c r="C495" s="111"/>
      <c r="D495" s="111"/>
      <c r="E495" s="136"/>
      <c r="F495" s="43"/>
      <c r="Q495" s="121"/>
      <c r="T495" s="121"/>
      <c r="U495" s="121"/>
      <c r="V495" s="121"/>
      <c r="W495" s="121"/>
      <c r="X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K495" s="32"/>
    </row>
    <row r="496" spans="1:37" x14ac:dyDescent="0.25">
      <c r="A496" s="132"/>
      <c r="B496" s="135"/>
      <c r="C496" s="111"/>
      <c r="D496" s="111"/>
      <c r="E496" s="136"/>
      <c r="F496" s="43"/>
      <c r="Q496" s="121"/>
      <c r="T496" s="121"/>
      <c r="U496" s="121"/>
      <c r="V496" s="121"/>
      <c r="W496" s="121"/>
      <c r="X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K496" s="32"/>
    </row>
    <row r="497" spans="1:37" x14ac:dyDescent="0.25">
      <c r="A497" s="132"/>
      <c r="B497" s="135"/>
      <c r="C497" s="111"/>
      <c r="D497" s="111"/>
      <c r="E497" s="136"/>
      <c r="F497" s="43"/>
      <c r="Q497" s="121"/>
      <c r="T497" s="121"/>
      <c r="U497" s="121"/>
      <c r="V497" s="121"/>
      <c r="W497" s="121"/>
      <c r="X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K497" s="32"/>
    </row>
    <row r="498" spans="1:37" x14ac:dyDescent="0.25">
      <c r="A498" s="132"/>
      <c r="B498" s="135"/>
      <c r="C498" s="111"/>
      <c r="D498" s="111"/>
      <c r="E498" s="136"/>
      <c r="F498" s="43"/>
      <c r="Q498" s="121"/>
      <c r="T498" s="121"/>
      <c r="U498" s="121"/>
      <c r="V498" s="121"/>
      <c r="W498" s="121"/>
      <c r="X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K498" s="32"/>
    </row>
    <row r="499" spans="1:37" x14ac:dyDescent="0.25">
      <c r="A499" s="132"/>
      <c r="B499" s="135"/>
      <c r="C499" s="111"/>
      <c r="D499" s="111"/>
      <c r="E499" s="136"/>
      <c r="F499" s="43"/>
      <c r="Q499" s="121"/>
      <c r="T499" s="121"/>
      <c r="U499" s="121"/>
      <c r="V499" s="121"/>
      <c r="W499" s="121"/>
      <c r="X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K499" s="32"/>
    </row>
    <row r="500" spans="1:37" x14ac:dyDescent="0.25">
      <c r="A500" s="132"/>
      <c r="B500" s="135"/>
      <c r="C500" s="111"/>
      <c r="D500" s="111"/>
      <c r="E500" s="136"/>
      <c r="F500" s="43"/>
      <c r="Q500" s="121"/>
      <c r="T500" s="121"/>
      <c r="U500" s="121"/>
      <c r="V500" s="121"/>
      <c r="W500" s="121"/>
      <c r="X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K500" s="32"/>
    </row>
    <row r="501" spans="1:37" x14ac:dyDescent="0.25">
      <c r="A501" s="132"/>
      <c r="B501" s="135"/>
      <c r="C501" s="111"/>
      <c r="D501" s="111"/>
      <c r="E501" s="136"/>
      <c r="F501" s="43"/>
      <c r="Q501" s="121"/>
      <c r="T501" s="121"/>
      <c r="U501" s="121"/>
      <c r="V501" s="121"/>
      <c r="W501" s="121"/>
      <c r="X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K501" s="32"/>
    </row>
    <row r="502" spans="1:37" x14ac:dyDescent="0.25">
      <c r="A502" s="132"/>
      <c r="B502" s="135"/>
      <c r="C502" s="111"/>
      <c r="D502" s="111"/>
      <c r="E502" s="136"/>
      <c r="F502" s="43"/>
      <c r="Q502" s="121"/>
      <c r="T502" s="121"/>
      <c r="U502" s="121"/>
      <c r="V502" s="121"/>
      <c r="W502" s="121"/>
      <c r="X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K502" s="32"/>
    </row>
    <row r="503" spans="1:37" x14ac:dyDescent="0.25">
      <c r="A503" s="132"/>
      <c r="B503" s="135"/>
      <c r="C503" s="111"/>
      <c r="D503" s="111"/>
      <c r="E503" s="136"/>
      <c r="F503" s="43"/>
      <c r="Q503" s="121"/>
      <c r="T503" s="121"/>
      <c r="U503" s="121"/>
      <c r="V503" s="121"/>
      <c r="W503" s="121"/>
      <c r="X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K503" s="32"/>
    </row>
    <row r="504" spans="1:37" x14ac:dyDescent="0.25">
      <c r="A504" s="132"/>
      <c r="B504" s="135"/>
      <c r="C504" s="111"/>
      <c r="D504" s="111"/>
      <c r="E504" s="136"/>
      <c r="F504" s="43"/>
      <c r="Q504" s="121"/>
      <c r="T504" s="121"/>
      <c r="U504" s="121"/>
      <c r="V504" s="121"/>
      <c r="W504" s="121"/>
      <c r="X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K504" s="32"/>
    </row>
    <row r="505" spans="1:37" x14ac:dyDescent="0.25">
      <c r="A505" s="132"/>
      <c r="B505" s="135"/>
      <c r="C505" s="111"/>
      <c r="D505" s="111"/>
      <c r="E505" s="136"/>
      <c r="F505" s="43"/>
      <c r="Q505" s="121"/>
      <c r="T505" s="121"/>
      <c r="U505" s="121"/>
      <c r="V505" s="121"/>
      <c r="W505" s="121"/>
      <c r="X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K505" s="32"/>
    </row>
    <row r="506" spans="1:37" x14ac:dyDescent="0.25">
      <c r="A506" s="132"/>
      <c r="B506" s="135"/>
      <c r="C506" s="111"/>
      <c r="D506" s="111"/>
      <c r="E506" s="136"/>
      <c r="F506" s="43"/>
      <c r="Q506" s="121"/>
      <c r="T506" s="121"/>
      <c r="U506" s="121"/>
      <c r="V506" s="121"/>
      <c r="W506" s="121"/>
      <c r="X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K506" s="32"/>
    </row>
    <row r="507" spans="1:37" x14ac:dyDescent="0.25">
      <c r="A507" s="132"/>
      <c r="B507" s="135"/>
      <c r="C507" s="111"/>
      <c r="D507" s="111"/>
      <c r="E507" s="136"/>
      <c r="F507" s="43"/>
      <c r="Q507" s="121"/>
      <c r="T507" s="121"/>
      <c r="U507" s="121"/>
      <c r="V507" s="121"/>
      <c r="W507" s="121"/>
      <c r="X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K507" s="32"/>
    </row>
    <row r="508" spans="1:37" x14ac:dyDescent="0.25">
      <c r="A508" s="132"/>
      <c r="B508" s="135"/>
      <c r="C508" s="111"/>
      <c r="D508" s="111"/>
      <c r="E508" s="136"/>
      <c r="F508" s="43"/>
      <c r="Q508" s="121"/>
      <c r="T508" s="121"/>
      <c r="U508" s="121"/>
      <c r="V508" s="121"/>
      <c r="W508" s="121"/>
      <c r="X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K508" s="32"/>
    </row>
    <row r="509" spans="1:37" x14ac:dyDescent="0.25">
      <c r="A509" s="132"/>
      <c r="B509" s="135"/>
      <c r="C509" s="111"/>
      <c r="D509" s="111"/>
      <c r="E509" s="136"/>
      <c r="F509" s="43"/>
      <c r="Q509" s="121"/>
      <c r="T509" s="121"/>
      <c r="U509" s="121"/>
      <c r="V509" s="121"/>
      <c r="W509" s="121"/>
      <c r="X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K509" s="32"/>
    </row>
    <row r="510" spans="1:37" x14ac:dyDescent="0.25">
      <c r="A510" s="132"/>
      <c r="B510" s="135"/>
      <c r="C510" s="111"/>
      <c r="D510" s="111"/>
      <c r="E510" s="136"/>
      <c r="F510" s="43"/>
      <c r="Q510" s="121"/>
      <c r="T510" s="121"/>
      <c r="U510" s="121"/>
      <c r="V510" s="121"/>
      <c r="W510" s="121"/>
      <c r="X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K510" s="32"/>
    </row>
    <row r="511" spans="1:37" x14ac:dyDescent="0.25">
      <c r="A511" s="132"/>
      <c r="B511" s="135"/>
      <c r="C511" s="111"/>
      <c r="D511" s="111"/>
      <c r="E511" s="136"/>
      <c r="F511" s="43"/>
      <c r="Q511" s="121"/>
      <c r="T511" s="121"/>
      <c r="U511" s="121"/>
      <c r="V511" s="121"/>
      <c r="W511" s="121"/>
      <c r="X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K511" s="32"/>
    </row>
    <row r="512" spans="1:37" x14ac:dyDescent="0.25">
      <c r="A512" s="132"/>
      <c r="B512" s="135"/>
      <c r="C512" s="111"/>
      <c r="D512" s="111"/>
      <c r="E512" s="136"/>
      <c r="F512" s="43"/>
      <c r="Q512" s="121"/>
      <c r="T512" s="121"/>
      <c r="U512" s="121"/>
      <c r="V512" s="121"/>
      <c r="W512" s="121"/>
      <c r="X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K512" s="32"/>
    </row>
    <row r="513" spans="1:37" x14ac:dyDescent="0.25">
      <c r="A513" s="132"/>
      <c r="B513" s="135"/>
      <c r="C513" s="111"/>
      <c r="D513" s="111"/>
      <c r="E513" s="136"/>
      <c r="F513" s="43"/>
      <c r="Q513" s="121"/>
      <c r="T513" s="121"/>
      <c r="U513" s="121"/>
      <c r="V513" s="121"/>
      <c r="W513" s="121"/>
      <c r="X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K513" s="32"/>
    </row>
    <row r="514" spans="1:37" x14ac:dyDescent="0.25">
      <c r="A514" s="132"/>
      <c r="B514" s="135"/>
      <c r="C514" s="111"/>
      <c r="D514" s="111"/>
      <c r="E514" s="136"/>
      <c r="F514" s="43"/>
      <c r="Q514" s="121"/>
      <c r="T514" s="121"/>
      <c r="U514" s="121"/>
      <c r="V514" s="121"/>
      <c r="W514" s="121"/>
      <c r="X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K514" s="32"/>
    </row>
    <row r="515" spans="1:37" x14ac:dyDescent="0.25">
      <c r="A515" s="132"/>
      <c r="B515" s="135"/>
      <c r="C515" s="111"/>
      <c r="D515" s="111"/>
      <c r="E515" s="136"/>
      <c r="F515" s="43"/>
      <c r="Q515" s="121"/>
      <c r="T515" s="121"/>
      <c r="U515" s="121"/>
      <c r="V515" s="121"/>
      <c r="W515" s="121"/>
      <c r="X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K515" s="32"/>
    </row>
    <row r="516" spans="1:37" x14ac:dyDescent="0.25">
      <c r="A516" s="132"/>
      <c r="B516" s="135"/>
      <c r="C516" s="111"/>
      <c r="D516" s="111"/>
      <c r="E516" s="136"/>
      <c r="F516" s="43"/>
      <c r="Q516" s="121"/>
      <c r="T516" s="121"/>
      <c r="U516" s="121"/>
      <c r="V516" s="121"/>
      <c r="W516" s="121"/>
      <c r="X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K516" s="32"/>
    </row>
    <row r="517" spans="1:37" x14ac:dyDescent="0.25">
      <c r="A517" s="132"/>
      <c r="B517" s="135"/>
      <c r="C517" s="111"/>
      <c r="D517" s="111"/>
      <c r="E517" s="136"/>
      <c r="F517" s="43"/>
      <c r="Q517" s="121"/>
      <c r="T517" s="121"/>
      <c r="U517" s="121"/>
      <c r="V517" s="121"/>
      <c r="W517" s="121"/>
      <c r="X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K517" s="32"/>
    </row>
    <row r="518" spans="1:37" x14ac:dyDescent="0.25">
      <c r="A518" s="132"/>
      <c r="B518" s="135"/>
      <c r="C518" s="111"/>
      <c r="D518" s="111"/>
      <c r="E518" s="136"/>
      <c r="F518" s="43"/>
      <c r="Q518" s="121"/>
      <c r="T518" s="121"/>
      <c r="U518" s="121"/>
      <c r="V518" s="121"/>
      <c r="W518" s="121"/>
      <c r="X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K518" s="32"/>
    </row>
    <row r="519" spans="1:37" x14ac:dyDescent="0.25">
      <c r="A519" s="132"/>
      <c r="B519" s="135"/>
      <c r="C519" s="111"/>
      <c r="D519" s="111"/>
      <c r="E519" s="136"/>
      <c r="F519" s="43"/>
      <c r="Q519" s="121"/>
      <c r="T519" s="121"/>
      <c r="U519" s="121"/>
      <c r="V519" s="121"/>
      <c r="W519" s="121"/>
      <c r="X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K519" s="32"/>
    </row>
    <row r="520" spans="1:37" x14ac:dyDescent="0.25">
      <c r="A520" s="132"/>
      <c r="B520" s="135"/>
      <c r="C520" s="111"/>
      <c r="D520" s="111"/>
      <c r="E520" s="136"/>
      <c r="F520" s="43"/>
      <c r="Q520" s="121"/>
      <c r="T520" s="121"/>
      <c r="U520" s="121"/>
      <c r="V520" s="121"/>
      <c r="W520" s="121"/>
      <c r="X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K520" s="32"/>
    </row>
    <row r="521" spans="1:37" x14ac:dyDescent="0.25">
      <c r="A521" s="132"/>
      <c r="B521" s="135"/>
      <c r="C521" s="111"/>
      <c r="D521" s="111"/>
      <c r="E521" s="136"/>
      <c r="F521" s="43"/>
      <c r="Q521" s="121"/>
      <c r="T521" s="121"/>
      <c r="U521" s="121"/>
      <c r="V521" s="121"/>
      <c r="W521" s="121"/>
      <c r="X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K521" s="32"/>
    </row>
    <row r="522" spans="1:37" x14ac:dyDescent="0.25">
      <c r="A522" s="132"/>
      <c r="B522" s="135"/>
      <c r="C522" s="111"/>
      <c r="D522" s="111"/>
      <c r="E522" s="136"/>
      <c r="F522" s="43"/>
      <c r="Q522" s="121"/>
      <c r="T522" s="121"/>
      <c r="U522" s="121"/>
      <c r="V522" s="121"/>
      <c r="W522" s="121"/>
      <c r="X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K522" s="32"/>
    </row>
    <row r="523" spans="1:37" x14ac:dyDescent="0.25">
      <c r="A523" s="132"/>
      <c r="B523" s="135"/>
      <c r="C523" s="111"/>
      <c r="D523" s="111"/>
      <c r="E523" s="136"/>
      <c r="F523" s="43"/>
      <c r="Q523" s="121"/>
      <c r="T523" s="121"/>
      <c r="U523" s="121"/>
      <c r="V523" s="121"/>
      <c r="W523" s="121"/>
      <c r="X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K523" s="32"/>
    </row>
    <row r="524" spans="1:37" x14ac:dyDescent="0.25">
      <c r="A524" s="132"/>
      <c r="B524" s="135"/>
      <c r="C524" s="111"/>
      <c r="D524" s="111"/>
      <c r="E524" s="136"/>
      <c r="F524" s="43"/>
      <c r="Q524" s="121"/>
      <c r="T524" s="121"/>
      <c r="U524" s="121"/>
      <c r="V524" s="121"/>
      <c r="W524" s="121"/>
      <c r="X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K524" s="32"/>
    </row>
    <row r="525" spans="1:37" x14ac:dyDescent="0.25">
      <c r="A525" s="132"/>
      <c r="B525" s="135"/>
      <c r="C525" s="111"/>
      <c r="D525" s="111"/>
      <c r="E525" s="136"/>
      <c r="F525" s="43"/>
      <c r="Q525" s="121"/>
      <c r="T525" s="121"/>
      <c r="U525" s="121"/>
      <c r="V525" s="121"/>
      <c r="W525" s="121"/>
      <c r="X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K525" s="32"/>
    </row>
    <row r="526" spans="1:37" x14ac:dyDescent="0.25">
      <c r="A526" s="132"/>
      <c r="B526" s="135"/>
      <c r="C526" s="111"/>
      <c r="D526" s="111"/>
      <c r="E526" s="136"/>
      <c r="F526" s="43"/>
      <c r="Q526" s="121"/>
      <c r="T526" s="121"/>
      <c r="U526" s="121"/>
      <c r="V526" s="121"/>
      <c r="W526" s="121"/>
      <c r="X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K526" s="32"/>
    </row>
    <row r="527" spans="1:37" x14ac:dyDescent="0.25">
      <c r="A527" s="132"/>
      <c r="B527" s="135"/>
      <c r="C527" s="111"/>
      <c r="D527" s="111"/>
      <c r="E527" s="136"/>
      <c r="F527" s="43"/>
      <c r="Q527" s="121"/>
      <c r="T527" s="121"/>
      <c r="U527" s="121"/>
      <c r="V527" s="121"/>
      <c r="W527" s="121"/>
      <c r="X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K527" s="32"/>
    </row>
    <row r="528" spans="1:37" x14ac:dyDescent="0.25">
      <c r="A528" s="132"/>
      <c r="B528" s="135"/>
      <c r="C528" s="111"/>
      <c r="D528" s="111"/>
      <c r="E528" s="136"/>
      <c r="F528" s="43"/>
      <c r="Q528" s="121"/>
      <c r="T528" s="121"/>
      <c r="U528" s="121"/>
      <c r="V528" s="121"/>
      <c r="W528" s="121"/>
      <c r="X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K528" s="32"/>
    </row>
    <row r="529" spans="1:37" x14ac:dyDescent="0.25">
      <c r="A529" s="132"/>
      <c r="B529" s="135"/>
      <c r="C529" s="111"/>
      <c r="D529" s="111"/>
      <c r="E529" s="136"/>
      <c r="F529" s="43"/>
      <c r="Q529" s="121"/>
      <c r="T529" s="121"/>
      <c r="U529" s="121"/>
      <c r="V529" s="121"/>
      <c r="W529" s="121"/>
      <c r="X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K529" s="32"/>
    </row>
    <row r="530" spans="1:37" x14ac:dyDescent="0.25">
      <c r="A530" s="132"/>
      <c r="B530" s="135"/>
      <c r="C530" s="111"/>
      <c r="D530" s="111"/>
      <c r="E530" s="136"/>
      <c r="F530" s="43"/>
      <c r="Q530" s="121"/>
      <c r="T530" s="121"/>
      <c r="U530" s="121"/>
      <c r="V530" s="121"/>
      <c r="W530" s="121"/>
      <c r="X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K530" s="32"/>
    </row>
    <row r="531" spans="1:37" x14ac:dyDescent="0.25">
      <c r="A531" s="132"/>
      <c r="B531" s="135"/>
      <c r="C531" s="111"/>
      <c r="D531" s="111"/>
      <c r="E531" s="136"/>
      <c r="F531" s="43"/>
      <c r="Q531" s="121"/>
      <c r="T531" s="121"/>
      <c r="U531" s="121"/>
      <c r="V531" s="121"/>
      <c r="W531" s="121"/>
      <c r="X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K531" s="32"/>
    </row>
    <row r="532" spans="1:37" x14ac:dyDescent="0.25">
      <c r="A532" s="132"/>
      <c r="B532" s="135"/>
      <c r="C532" s="111"/>
      <c r="D532" s="111"/>
      <c r="E532" s="136"/>
      <c r="F532" s="43"/>
      <c r="Q532" s="121"/>
      <c r="T532" s="121"/>
      <c r="U532" s="121"/>
      <c r="V532" s="121"/>
      <c r="W532" s="121"/>
      <c r="X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K532" s="32"/>
    </row>
    <row r="533" spans="1:37" x14ac:dyDescent="0.25">
      <c r="A533" s="132"/>
      <c r="B533" s="135"/>
      <c r="C533" s="111"/>
      <c r="D533" s="111"/>
      <c r="E533" s="136"/>
      <c r="F533" s="43"/>
      <c r="Q533" s="121"/>
      <c r="T533" s="121"/>
      <c r="U533" s="121"/>
      <c r="V533" s="121"/>
      <c r="W533" s="121"/>
      <c r="X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K533" s="32"/>
    </row>
    <row r="534" spans="1:37" x14ac:dyDescent="0.25">
      <c r="A534" s="132"/>
      <c r="B534" s="135"/>
      <c r="C534" s="111"/>
      <c r="D534" s="111"/>
      <c r="E534" s="136"/>
      <c r="F534" s="43"/>
      <c r="Q534" s="121"/>
      <c r="T534" s="121"/>
      <c r="U534" s="121"/>
      <c r="V534" s="121"/>
      <c r="W534" s="121"/>
      <c r="X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K534" s="32"/>
    </row>
    <row r="535" spans="1:37" x14ac:dyDescent="0.25">
      <c r="A535" s="132"/>
      <c r="B535" s="135"/>
      <c r="C535" s="111"/>
      <c r="D535" s="111"/>
      <c r="E535" s="136"/>
      <c r="F535" s="43"/>
      <c r="Q535" s="121"/>
      <c r="T535" s="121"/>
      <c r="U535" s="121"/>
      <c r="V535" s="121"/>
      <c r="W535" s="121"/>
      <c r="X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K535" s="32"/>
    </row>
    <row r="536" spans="1:37" x14ac:dyDescent="0.25">
      <c r="A536" s="132"/>
      <c r="B536" s="135"/>
      <c r="C536" s="111"/>
      <c r="D536" s="111"/>
      <c r="E536" s="136"/>
      <c r="F536" s="43"/>
      <c r="Q536" s="121"/>
      <c r="T536" s="121"/>
      <c r="U536" s="121"/>
      <c r="V536" s="121"/>
      <c r="W536" s="121"/>
      <c r="X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K536" s="32"/>
    </row>
    <row r="537" spans="1:37" x14ac:dyDescent="0.25">
      <c r="A537" s="132"/>
      <c r="B537" s="135"/>
      <c r="C537" s="111"/>
      <c r="D537" s="111"/>
      <c r="E537" s="136"/>
      <c r="F537" s="43"/>
      <c r="Q537" s="121"/>
      <c r="T537" s="121"/>
      <c r="U537" s="121"/>
      <c r="V537" s="121"/>
      <c r="W537" s="121"/>
      <c r="X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K537" s="32"/>
    </row>
    <row r="538" spans="1:37" x14ac:dyDescent="0.25">
      <c r="A538" s="132"/>
      <c r="B538" s="135"/>
      <c r="C538" s="111"/>
      <c r="D538" s="111"/>
      <c r="E538" s="136"/>
      <c r="F538" s="43"/>
      <c r="Q538" s="121"/>
      <c r="T538" s="121"/>
      <c r="U538" s="121"/>
      <c r="V538" s="121"/>
      <c r="W538" s="121"/>
      <c r="X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K538" s="32"/>
    </row>
    <row r="539" spans="1:37" x14ac:dyDescent="0.25">
      <c r="A539" s="132"/>
      <c r="B539" s="135"/>
      <c r="C539" s="111"/>
      <c r="D539" s="111"/>
      <c r="E539" s="136"/>
      <c r="F539" s="43"/>
      <c r="Q539" s="121"/>
      <c r="T539" s="121"/>
      <c r="U539" s="121"/>
      <c r="V539" s="121"/>
      <c r="W539" s="121"/>
      <c r="X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K539" s="32"/>
    </row>
    <row r="540" spans="1:37" x14ac:dyDescent="0.25">
      <c r="A540" s="132"/>
      <c r="B540" s="135"/>
      <c r="C540" s="111"/>
      <c r="D540" s="111"/>
      <c r="E540" s="136"/>
      <c r="F540" s="43"/>
      <c r="Q540" s="121"/>
      <c r="T540" s="121"/>
      <c r="U540" s="121"/>
      <c r="V540" s="121"/>
      <c r="W540" s="121"/>
      <c r="X540" s="121"/>
      <c r="Z540" s="121"/>
      <c r="AA540" s="121"/>
      <c r="AB540" s="121"/>
      <c r="AC540" s="121"/>
      <c r="AD540" s="121"/>
    </row>
    <row r="541" spans="1:37" x14ac:dyDescent="0.25">
      <c r="A541" s="132"/>
      <c r="B541" s="135"/>
      <c r="C541" s="111"/>
      <c r="D541" s="111"/>
      <c r="E541" s="136"/>
      <c r="F541" s="43"/>
      <c r="Q541" s="121"/>
      <c r="T541" s="121"/>
      <c r="U541" s="121"/>
      <c r="V541" s="121"/>
      <c r="W541" s="121"/>
      <c r="X541" s="121"/>
      <c r="Z541" s="121"/>
      <c r="AA541" s="121"/>
      <c r="AB541" s="121"/>
      <c r="AC541" s="121"/>
      <c r="AD541" s="121"/>
    </row>
    <row r="542" spans="1:37" x14ac:dyDescent="0.25">
      <c r="A542" s="132"/>
      <c r="B542" s="135"/>
      <c r="C542" s="111"/>
      <c r="D542" s="111"/>
      <c r="E542" s="136"/>
      <c r="F542" s="43"/>
      <c r="Q542" s="121"/>
      <c r="T542" s="121"/>
      <c r="U542" s="121"/>
      <c r="V542" s="121"/>
      <c r="W542" s="121"/>
      <c r="X542" s="121"/>
    </row>
    <row r="543" spans="1:37" x14ac:dyDescent="0.25">
      <c r="A543" s="132"/>
      <c r="B543" s="135"/>
      <c r="C543" s="111"/>
      <c r="D543" s="111"/>
      <c r="E543" s="136"/>
      <c r="F543" s="43"/>
      <c r="Q543" s="121"/>
      <c r="T543" s="121"/>
      <c r="U543" s="121"/>
      <c r="V543" s="121"/>
      <c r="W543" s="121"/>
      <c r="X543" s="121"/>
    </row>
    <row r="544" spans="1:37" x14ac:dyDescent="0.25">
      <c r="A544" s="132"/>
      <c r="B544" s="135"/>
      <c r="C544" s="111"/>
      <c r="D544" s="111"/>
      <c r="E544" s="136"/>
      <c r="F544" s="43"/>
    </row>
    <row r="545" spans="1:6" x14ac:dyDescent="0.25">
      <c r="A545" s="132"/>
      <c r="B545" s="135"/>
      <c r="C545" s="111"/>
      <c r="D545" s="111"/>
      <c r="E545" s="136"/>
      <c r="F545" s="43"/>
    </row>
    <row r="546" spans="1:6" x14ac:dyDescent="0.25">
      <c r="A546" s="132"/>
      <c r="B546" s="135"/>
      <c r="C546" s="111"/>
      <c r="D546" s="111"/>
      <c r="E546" s="136"/>
      <c r="F546" s="43"/>
    </row>
    <row r="547" spans="1:6" x14ac:dyDescent="0.25">
      <c r="A547" s="132"/>
      <c r="B547" s="135"/>
      <c r="C547" s="111"/>
      <c r="D547" s="111"/>
      <c r="E547" s="136"/>
      <c r="F547" s="43"/>
    </row>
    <row r="548" spans="1:6" x14ac:dyDescent="0.25">
      <c r="A548" s="132"/>
      <c r="B548" s="135"/>
      <c r="C548" s="111"/>
      <c r="D548" s="111"/>
      <c r="E548" s="136"/>
      <c r="F548" s="43"/>
    </row>
    <row r="549" spans="1:6" x14ac:dyDescent="0.25">
      <c r="A549" s="132"/>
      <c r="B549" s="135"/>
      <c r="C549" s="111"/>
      <c r="D549" s="111"/>
      <c r="E549" s="136"/>
      <c r="F549" s="43"/>
    </row>
  </sheetData>
  <mergeCells count="5">
    <mergeCell ref="O1:P1"/>
    <mergeCell ref="BH1:CI1"/>
    <mergeCell ref="T1:W1"/>
    <mergeCell ref="AE1:AI1"/>
    <mergeCell ref="X1:AC1"/>
  </mergeCells>
  <phoneticPr fontId="18" type="noConversion"/>
  <pageMargins left="0.74791666666666667" right="0.74791666666666667" top="0.98402777777777783" bottom="0.98402777777777783" header="0.51180555555555562" footer="0.51180555555555562"/>
  <pageSetup paperSize="9" scale="70" firstPageNumber="0" orientation="landscape" horizontalDpi="300" verticalDpi="300" r:id="rId1"/>
  <headerFooter alignWithMargins="0"/>
  <colBreaks count="1" manualBreakCount="1">
    <brk id="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opLeftCell="A58" zoomScale="85" zoomScaleNormal="85" workbookViewId="0">
      <pane ySplit="435" activePane="bottomLeft"/>
      <selection activeCell="AG49" sqref="AG49"/>
      <selection pane="bottomLeft" activeCell="R1" sqref="R1"/>
    </sheetView>
  </sheetViews>
  <sheetFormatPr defaultRowHeight="12.75" x14ac:dyDescent="0.2"/>
  <cols>
    <col min="1" max="1" width="12.85546875" customWidth="1"/>
  </cols>
  <sheetData>
    <row r="1" spans="1:22" s="16" customFormat="1" ht="15" x14ac:dyDescent="0.25">
      <c r="A1" s="30" t="s">
        <v>64</v>
      </c>
      <c r="B1" s="62" t="s">
        <v>95</v>
      </c>
      <c r="C1" s="17" t="s">
        <v>130</v>
      </c>
      <c r="D1" s="17" t="s">
        <v>131</v>
      </c>
      <c r="E1" s="89" t="s">
        <v>29</v>
      </c>
      <c r="F1" s="81" t="s">
        <v>38</v>
      </c>
      <c r="G1" s="80" t="s">
        <v>39</v>
      </c>
      <c r="H1" s="80" t="s">
        <v>40</v>
      </c>
      <c r="I1" s="82" t="s">
        <v>41</v>
      </c>
      <c r="J1" s="81" t="s">
        <v>1</v>
      </c>
      <c r="K1" s="80" t="s">
        <v>2</v>
      </c>
      <c r="L1" s="80" t="s">
        <v>114</v>
      </c>
      <c r="M1" s="81" t="s">
        <v>97</v>
      </c>
      <c r="N1" s="80" t="s">
        <v>98</v>
      </c>
      <c r="O1" s="80" t="s">
        <v>42</v>
      </c>
      <c r="P1" s="80" t="s">
        <v>72</v>
      </c>
      <c r="Q1" s="56" t="s">
        <v>34</v>
      </c>
      <c r="R1" s="56" t="s">
        <v>132</v>
      </c>
      <c r="S1" s="16" t="s">
        <v>113</v>
      </c>
      <c r="T1" s="16" t="s">
        <v>135</v>
      </c>
    </row>
    <row r="2" spans="1:22" s="74" customFormat="1" ht="12.75" customHeight="1" x14ac:dyDescent="0.25">
      <c r="A2" s="149" t="s">
        <v>109</v>
      </c>
      <c r="B2" s="63">
        <v>3.4673685045253172E-2</v>
      </c>
      <c r="C2" s="42">
        <v>1.6136261766024205E-2</v>
      </c>
      <c r="D2" s="42">
        <v>18</v>
      </c>
      <c r="E2" s="91">
        <v>2.2309999999999999</v>
      </c>
      <c r="F2" s="148">
        <v>275.81216627576225</v>
      </c>
      <c r="G2" s="26">
        <v>92.300098716683124</v>
      </c>
      <c r="H2" s="26">
        <v>80.991735537190095</v>
      </c>
      <c r="I2" s="26">
        <v>13.249961638790856</v>
      </c>
      <c r="J2" s="87">
        <v>43.8</v>
      </c>
      <c r="K2" s="113">
        <v>28.9</v>
      </c>
      <c r="L2" s="57">
        <v>11</v>
      </c>
      <c r="M2" s="93">
        <v>157.31457183503733</v>
      </c>
      <c r="N2" s="77">
        <v>3.4001028395335209</v>
      </c>
      <c r="O2" s="75">
        <v>69.382641796524268</v>
      </c>
      <c r="P2" s="76">
        <v>2.7744544499303436</v>
      </c>
      <c r="Q2" s="203">
        <v>0.96867936712948011</v>
      </c>
      <c r="R2" s="125">
        <v>5</v>
      </c>
      <c r="S2" s="147">
        <v>0</v>
      </c>
      <c r="T2" s="74">
        <v>234.32400067016667</v>
      </c>
    </row>
    <row r="3" spans="1:22" s="74" customFormat="1" ht="15.75" x14ac:dyDescent="0.25">
      <c r="A3" s="149" t="s">
        <v>144</v>
      </c>
      <c r="B3" s="64">
        <v>1.5135612484362029E-2</v>
      </c>
      <c r="C3" s="59">
        <v>1.1695906432748538E-3</v>
      </c>
      <c r="D3" s="59">
        <v>4</v>
      </c>
      <c r="E3" s="91">
        <v>1.71</v>
      </c>
      <c r="F3" s="148">
        <v>1193.6723389390688</v>
      </c>
      <c r="G3" s="26">
        <v>182.13228035538003</v>
      </c>
      <c r="H3" s="148">
        <v>61.983471074380176</v>
      </c>
      <c r="I3" s="26">
        <v>55.958774487238507</v>
      </c>
      <c r="J3" s="86">
        <v>33.300000000000004</v>
      </c>
      <c r="K3" s="77">
        <v>24.6</v>
      </c>
      <c r="L3" s="2">
        <v>311.5</v>
      </c>
      <c r="M3" s="93">
        <v>131.62099589917275</v>
      </c>
      <c r="N3" s="77">
        <v>2.3286925372691916</v>
      </c>
      <c r="O3" s="75">
        <v>17.645788167612437</v>
      </c>
      <c r="P3" s="76">
        <v>4.596498442565168</v>
      </c>
      <c r="Q3" s="109">
        <v>0.58120762027768813</v>
      </c>
      <c r="R3" s="125">
        <v>4</v>
      </c>
      <c r="S3" s="147">
        <v>0</v>
      </c>
      <c r="T3" s="74">
        <v>1605.214945241351</v>
      </c>
    </row>
    <row r="4" spans="1:22" s="74" customFormat="1" ht="15.75" x14ac:dyDescent="0.25">
      <c r="A4" s="149" t="s">
        <v>146</v>
      </c>
      <c r="B4" s="64">
        <v>4.1686938347033513E-2</v>
      </c>
      <c r="C4" s="59">
        <v>2.4749272080232931E-2</v>
      </c>
      <c r="D4" s="59">
        <v>12.75</v>
      </c>
      <c r="E4" s="91">
        <v>6.1820000000000004</v>
      </c>
      <c r="F4" s="148">
        <v>1045.8106691950695</v>
      </c>
      <c r="G4" s="26">
        <v>238.9766370516617</v>
      </c>
      <c r="H4" s="26">
        <v>860.46107003044801</v>
      </c>
      <c r="I4" s="26">
        <v>76.870748299319729</v>
      </c>
      <c r="J4" s="86">
        <v>38.5</v>
      </c>
      <c r="K4" s="77">
        <v>31.6</v>
      </c>
      <c r="L4" s="2">
        <v>10.5</v>
      </c>
      <c r="M4" s="93">
        <v>406.78405897163742</v>
      </c>
      <c r="N4" s="77">
        <v>2.5348300440324674</v>
      </c>
      <c r="O4" s="75">
        <v>983.98646201666702</v>
      </c>
      <c r="P4" s="76">
        <v>5.5355084240690502</v>
      </c>
      <c r="Q4" s="109">
        <v>0.38747174685179209</v>
      </c>
      <c r="R4" s="125">
        <v>21</v>
      </c>
      <c r="S4" s="147">
        <v>0</v>
      </c>
      <c r="T4" s="74">
        <v>1117.1355220883343</v>
      </c>
    </row>
    <row r="5" spans="1:22" s="74" customFormat="1" ht="15.75" x14ac:dyDescent="0.25">
      <c r="A5" s="149" t="s">
        <v>111</v>
      </c>
      <c r="B5" s="64">
        <v>1.4791083881682026E-2</v>
      </c>
      <c r="C5" s="59">
        <v>2.1242937853107345E-2</v>
      </c>
      <c r="D5" s="59">
        <v>15.666666666666666</v>
      </c>
      <c r="E5" s="91">
        <v>8.85</v>
      </c>
      <c r="F5" s="148">
        <v>1133.9887219921152</v>
      </c>
      <c r="G5" s="148">
        <v>287.5123395853899</v>
      </c>
      <c r="H5" s="148">
        <v>422.00956937799043</v>
      </c>
      <c r="I5" s="26">
        <v>43.757352565086194</v>
      </c>
      <c r="J5" s="86">
        <v>25.9</v>
      </c>
      <c r="K5" s="77">
        <v>25.6</v>
      </c>
      <c r="L5" s="2">
        <v>10.5</v>
      </c>
      <c r="M5" s="93">
        <v>152.86881727175142</v>
      </c>
      <c r="N5" s="77">
        <v>0.80636447351657159</v>
      </c>
      <c r="O5" s="75">
        <v>336.93750469142407</v>
      </c>
      <c r="P5" s="76">
        <v>2.9911763678001702</v>
      </c>
      <c r="Q5" s="32">
        <v>0.29060381013884407</v>
      </c>
      <c r="R5" s="125">
        <v>13</v>
      </c>
      <c r="S5" s="147">
        <v>4</v>
      </c>
      <c r="T5" s="74">
        <v>1731.9310674715919</v>
      </c>
    </row>
    <row r="6" spans="1:22" s="74" customFormat="1" ht="15.75" x14ac:dyDescent="0.25">
      <c r="A6" s="149" t="s">
        <v>110</v>
      </c>
      <c r="B6" s="64">
        <v>0.15488166189124805</v>
      </c>
      <c r="C6" s="59">
        <v>3.528336380255942E-2</v>
      </c>
      <c r="D6" s="59">
        <v>10.157894736842106</v>
      </c>
      <c r="E6" s="91">
        <v>5.47</v>
      </c>
      <c r="F6" s="148">
        <v>107.49039373222216</v>
      </c>
      <c r="G6" s="148">
        <v>43.279039157617639</v>
      </c>
      <c r="H6" s="148">
        <v>64.071335363201413</v>
      </c>
      <c r="I6" s="148">
        <v>10.631169761137539</v>
      </c>
      <c r="J6" s="86">
        <v>114.5</v>
      </c>
      <c r="K6" s="77">
        <v>40.9</v>
      </c>
      <c r="L6" s="2">
        <v>11.5</v>
      </c>
      <c r="M6" s="93">
        <v>36.48013458885567</v>
      </c>
      <c r="N6" s="77">
        <v>7.2860873576819589</v>
      </c>
      <c r="O6" s="75">
        <v>48.675016258210107</v>
      </c>
      <c r="P6" s="76">
        <v>4.7324276291873151</v>
      </c>
      <c r="Q6" s="109">
        <v>0.19373587342589604</v>
      </c>
      <c r="R6" s="125">
        <v>3</v>
      </c>
      <c r="S6" s="147">
        <v>4</v>
      </c>
      <c r="T6" s="74">
        <v>1089.0393924420998</v>
      </c>
    </row>
    <row r="7" spans="1:22" s="74" customFormat="1" ht="15.75" x14ac:dyDescent="0.25">
      <c r="A7" s="149" t="s">
        <v>103</v>
      </c>
      <c r="B7" s="64">
        <v>9.5499258602143561E-2</v>
      </c>
      <c r="C7" s="59">
        <v>3.3671833244254407E-2</v>
      </c>
      <c r="D7" s="59">
        <v>9.9473684210526319</v>
      </c>
      <c r="E7" s="91">
        <v>5.6130000000000004</v>
      </c>
      <c r="F7" s="148">
        <v>204.55112530565398</v>
      </c>
      <c r="G7" s="148">
        <v>65.391576176373817</v>
      </c>
      <c r="H7" s="148">
        <v>128.01217920835148</v>
      </c>
      <c r="I7" s="26">
        <v>15.045266226791471</v>
      </c>
      <c r="J7" s="86">
        <v>83.1</v>
      </c>
      <c r="K7" s="77">
        <v>57.2</v>
      </c>
      <c r="L7" s="2">
        <v>13.2</v>
      </c>
      <c r="M7" s="93">
        <v>70.088521593686067</v>
      </c>
      <c r="N7" s="77">
        <v>9.0758243529633358</v>
      </c>
      <c r="O7" s="75">
        <v>123.48485939560162</v>
      </c>
      <c r="P7" s="76">
        <v>5.5804972107602033</v>
      </c>
      <c r="Q7" s="109">
        <v>0.19373587342589604</v>
      </c>
      <c r="R7" s="125">
        <v>8</v>
      </c>
      <c r="S7" s="147">
        <v>12</v>
      </c>
      <c r="T7" s="74">
        <v>198.50124965674564</v>
      </c>
    </row>
    <row r="8" spans="1:22" s="74" customFormat="1" ht="15.75" x14ac:dyDescent="0.25">
      <c r="A8" s="149" t="s">
        <v>108</v>
      </c>
      <c r="B8" s="64">
        <v>4.3651583224016563E-2</v>
      </c>
      <c r="C8" s="59">
        <v>3.0033557046979863E-2</v>
      </c>
      <c r="D8" s="59">
        <v>9.9444444444444446</v>
      </c>
      <c r="E8" s="91">
        <v>5.96</v>
      </c>
      <c r="F8" s="148">
        <v>1206.0981086880581</v>
      </c>
      <c r="G8" s="148">
        <v>319.84205330700888</v>
      </c>
      <c r="H8" s="148">
        <v>391.43105698129625</v>
      </c>
      <c r="I8" s="148">
        <v>69.51051097130582</v>
      </c>
      <c r="J8" s="86">
        <v>36.900000000000006</v>
      </c>
      <c r="K8" s="77">
        <v>174.5</v>
      </c>
      <c r="L8" s="2">
        <v>111.19999999999999</v>
      </c>
      <c r="M8" s="93">
        <v>216.62097908431423</v>
      </c>
      <c r="N8" s="77">
        <v>26.028999637903688</v>
      </c>
      <c r="O8" s="75">
        <v>429.55169537215397</v>
      </c>
      <c r="P8" s="76">
        <v>6.639108185837304</v>
      </c>
      <c r="Q8" s="109">
        <v>6.1995479496286734</v>
      </c>
      <c r="R8" s="125">
        <v>131</v>
      </c>
      <c r="S8" s="147">
        <v>3</v>
      </c>
      <c r="T8" s="74">
        <v>1597.5554206731201</v>
      </c>
    </row>
    <row r="9" spans="1:22" s="74" customFormat="1" ht="15.75" x14ac:dyDescent="0.25">
      <c r="A9" s="149" t="s">
        <v>105</v>
      </c>
      <c r="B9" s="64">
        <v>5.3703179637025193E-2</v>
      </c>
      <c r="C9" s="59">
        <v>3.3700367033700371E-2</v>
      </c>
      <c r="D9" s="59">
        <v>9.7741935483870961</v>
      </c>
      <c r="E9" s="91">
        <v>8.9909999999999997</v>
      </c>
      <c r="F9" s="148">
        <v>813.81306452417778</v>
      </c>
      <c r="G9" s="26">
        <v>217.58802237578152</v>
      </c>
      <c r="H9" s="148">
        <v>564.46280991735546</v>
      </c>
      <c r="I9" s="26">
        <v>60.585136310163172</v>
      </c>
      <c r="J9" s="86">
        <v>70.5</v>
      </c>
      <c r="K9" s="77">
        <v>118.9</v>
      </c>
      <c r="L9" s="2">
        <v>22.2</v>
      </c>
      <c r="M9" s="93">
        <v>330.52531380932891</v>
      </c>
      <c r="N9" s="77">
        <v>61.982730408513916</v>
      </c>
      <c r="O9" s="75">
        <v>669.51847957621862</v>
      </c>
      <c r="P9" s="76">
        <v>5.7942870539914475</v>
      </c>
      <c r="Q9" s="109">
        <v>0.58120762027768813</v>
      </c>
      <c r="R9" s="125">
        <v>6</v>
      </c>
      <c r="S9" s="147">
        <v>10</v>
      </c>
      <c r="T9" s="74">
        <v>762.13104088384182</v>
      </c>
    </row>
    <row r="10" spans="1:22" s="74" customFormat="1" ht="15.75" x14ac:dyDescent="0.25">
      <c r="A10" s="149" t="s">
        <v>104</v>
      </c>
      <c r="B10" s="64">
        <v>6.6069344800759433E-2</v>
      </c>
      <c r="C10" s="59">
        <v>3.6546610169491525E-2</v>
      </c>
      <c r="D10" s="59">
        <v>8.8461538461538449</v>
      </c>
      <c r="E10" s="91">
        <v>9.44</v>
      </c>
      <c r="F10" s="148">
        <v>827.28679075802177</v>
      </c>
      <c r="G10" s="148">
        <v>261.92826587693321</v>
      </c>
      <c r="H10" s="148">
        <v>457.80774249673777</v>
      </c>
      <c r="I10" s="26">
        <v>84.241215283105731</v>
      </c>
      <c r="J10" s="86">
        <v>189.29999999999998</v>
      </c>
      <c r="K10" s="77">
        <v>228.2</v>
      </c>
      <c r="L10" s="2">
        <v>162.5</v>
      </c>
      <c r="M10" s="93">
        <v>248.57582620458192</v>
      </c>
      <c r="N10" s="77">
        <v>109.81236757878384</v>
      </c>
      <c r="O10" s="75">
        <v>611.53898799240415</v>
      </c>
      <c r="P10" s="76">
        <v>11.927606761720719</v>
      </c>
      <c r="Q10" s="32">
        <v>3.4872457216661288</v>
      </c>
      <c r="R10" s="125">
        <v>18</v>
      </c>
      <c r="S10" s="147">
        <v>32</v>
      </c>
      <c r="T10" s="74">
        <v>951.43939102091826</v>
      </c>
    </row>
    <row r="11" spans="1:22" s="74" customFormat="1" ht="15.75" x14ac:dyDescent="0.25">
      <c r="A11" s="149" t="s">
        <v>107</v>
      </c>
      <c r="B11" s="64">
        <v>0.61659500186148142</v>
      </c>
      <c r="C11" s="59">
        <v>3.9713639788997744E-2</v>
      </c>
      <c r="D11" s="59">
        <v>8.234375</v>
      </c>
      <c r="E11" s="91">
        <v>13.27</v>
      </c>
      <c r="F11" s="148">
        <v>185.93742202704723</v>
      </c>
      <c r="G11" s="26">
        <v>69.151036525172756</v>
      </c>
      <c r="H11" s="26">
        <v>192.30100043497174</v>
      </c>
      <c r="I11" s="26">
        <v>19.794383918981129</v>
      </c>
      <c r="J11" s="86">
        <v>199.7</v>
      </c>
      <c r="K11" s="77">
        <v>241.2</v>
      </c>
      <c r="L11" s="2">
        <v>59.1</v>
      </c>
      <c r="M11" s="93">
        <v>59.436735615443951</v>
      </c>
      <c r="N11" s="77">
        <v>4.4001622629960915</v>
      </c>
      <c r="O11" s="75">
        <v>178.11220590938063</v>
      </c>
      <c r="P11" s="76">
        <v>5.195892222335261</v>
      </c>
      <c r="Q11" s="109">
        <v>0.58120762027768813</v>
      </c>
      <c r="R11" s="125">
        <v>10</v>
      </c>
      <c r="S11" s="147">
        <v>17</v>
      </c>
      <c r="T11" s="74">
        <v>178.53917676191134</v>
      </c>
    </row>
    <row r="12" spans="1:22" s="74" customFormat="1" ht="15.75" x14ac:dyDescent="0.25">
      <c r="A12" s="149" t="s">
        <v>147</v>
      </c>
      <c r="B12" s="64">
        <v>2.7542287033381663</v>
      </c>
      <c r="C12" s="59">
        <v>4.4159999999999998E-2</v>
      </c>
      <c r="D12" s="59">
        <v>7.2631578947368416</v>
      </c>
      <c r="E12" s="91">
        <v>18.75</v>
      </c>
      <c r="F12" s="148">
        <v>153.15135485802682</v>
      </c>
      <c r="G12" s="148">
        <v>54.647910496873969</v>
      </c>
      <c r="H12" s="148">
        <v>80.382775119617236</v>
      </c>
      <c r="I12" s="26">
        <v>10.482839752442331</v>
      </c>
      <c r="J12" s="86">
        <v>384.2</v>
      </c>
      <c r="K12" s="77">
        <v>368.59999999999997</v>
      </c>
      <c r="L12" s="2">
        <v>28</v>
      </c>
      <c r="M12" s="93">
        <v>55.773810588538126</v>
      </c>
      <c r="N12" s="77">
        <v>2.3302985056023502</v>
      </c>
      <c r="O12" s="75">
        <v>66.784560978286862</v>
      </c>
      <c r="P12" s="76">
        <v>3.1553663197047332</v>
      </c>
      <c r="Q12" s="109">
        <v>0.29060381013884407</v>
      </c>
      <c r="R12" s="125">
        <v>12</v>
      </c>
      <c r="S12" s="147">
        <v>7</v>
      </c>
      <c r="T12" s="74">
        <v>79.689872067314028</v>
      </c>
      <c r="U12"/>
    </row>
    <row r="16" spans="1:22" x14ac:dyDescent="0.2">
      <c r="B16" s="74"/>
      <c r="C16" s="74" t="s">
        <v>95</v>
      </c>
      <c r="D16" s="74" t="s">
        <v>130</v>
      </c>
      <c r="E16" s="74" t="s">
        <v>131</v>
      </c>
      <c r="F16" s="74" t="s">
        <v>28</v>
      </c>
      <c r="G16" s="74" t="s">
        <v>136</v>
      </c>
      <c r="H16" s="74" t="s">
        <v>137</v>
      </c>
      <c r="I16" s="74" t="s">
        <v>138</v>
      </c>
      <c r="J16" s="74" t="s">
        <v>139</v>
      </c>
      <c r="K16" s="74" t="s">
        <v>1</v>
      </c>
      <c r="L16" s="74" t="s">
        <v>2</v>
      </c>
      <c r="M16" s="74" t="s">
        <v>114</v>
      </c>
      <c r="N16" s="74" t="s">
        <v>140</v>
      </c>
      <c r="O16" s="74" t="s">
        <v>141</v>
      </c>
      <c r="P16" s="74" t="s">
        <v>142</v>
      </c>
      <c r="Q16" s="74" t="s">
        <v>72</v>
      </c>
      <c r="R16" s="74" t="s">
        <v>34</v>
      </c>
      <c r="S16" s="74" t="s">
        <v>132</v>
      </c>
      <c r="T16" s="74" t="s">
        <v>113</v>
      </c>
      <c r="U16" s="74"/>
      <c r="V16" s="74"/>
    </row>
    <row r="17" spans="2:33" x14ac:dyDescent="0.2">
      <c r="B17" s="74" t="s">
        <v>130</v>
      </c>
      <c r="C17" s="114">
        <v>0.504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2:33" x14ac:dyDescent="0.2">
      <c r="B18" s="74"/>
      <c r="C18" s="114">
        <v>0.114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F18" s="115"/>
      <c r="AG18" s="115"/>
    </row>
    <row r="19" spans="2:33" x14ac:dyDescent="0.2">
      <c r="B19" s="7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2:33" x14ac:dyDescent="0.2">
      <c r="B20" s="74" t="s">
        <v>131</v>
      </c>
      <c r="C20" s="114">
        <v>-0.315</v>
      </c>
      <c r="D20" s="114">
        <v>-0.126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2:33" x14ac:dyDescent="0.2">
      <c r="B21" s="74"/>
      <c r="C21" s="114">
        <v>0.34499999999999997</v>
      </c>
      <c r="D21" s="114">
        <v>0.71099999999999997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2:33" x14ac:dyDescent="0.2">
      <c r="B22" s="7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2:33" x14ac:dyDescent="0.2">
      <c r="B23" s="74" t="s">
        <v>28</v>
      </c>
      <c r="C23" s="204">
        <v>0.81499999999999995</v>
      </c>
      <c r="D23" s="204">
        <v>0.76</v>
      </c>
      <c r="E23" s="114">
        <v>-0.25700000000000001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2:33" x14ac:dyDescent="0.2">
      <c r="B24" s="74"/>
      <c r="C24" s="141">
        <v>2E-3</v>
      </c>
      <c r="D24" s="141">
        <v>7.0000000000000001E-3</v>
      </c>
      <c r="E24" s="114">
        <v>0.44500000000000001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2:33" x14ac:dyDescent="0.2">
      <c r="B25" s="7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2:33" x14ac:dyDescent="0.2">
      <c r="B26" s="74" t="s">
        <v>136</v>
      </c>
      <c r="C26" s="114">
        <v>-0.45500000000000002</v>
      </c>
      <c r="D26" s="114">
        <v>-0.54700000000000004</v>
      </c>
      <c r="E26" s="114">
        <v>-3.2000000000000001E-2</v>
      </c>
      <c r="F26" s="114">
        <v>-0.33700000000000002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2:33" x14ac:dyDescent="0.2">
      <c r="B27" s="74"/>
      <c r="C27" s="114">
        <v>0.16</v>
      </c>
      <c r="D27" s="114">
        <v>8.2000000000000003E-2</v>
      </c>
      <c r="E27" s="114">
        <v>0.92500000000000004</v>
      </c>
      <c r="F27" s="114">
        <v>0.311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F27" s="74"/>
    </row>
    <row r="28" spans="2:33" x14ac:dyDescent="0.2">
      <c r="B28" s="7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2:33" x14ac:dyDescent="0.2">
      <c r="B29" s="74" t="s">
        <v>137</v>
      </c>
      <c r="C29" s="114">
        <v>-0.44700000000000001</v>
      </c>
      <c r="D29" s="114">
        <v>-0.28199999999999997</v>
      </c>
      <c r="E29" s="114">
        <v>0.13200000000000001</v>
      </c>
      <c r="F29" s="114">
        <v>-0.19400000000000001</v>
      </c>
      <c r="G29" s="204">
        <v>0.92600000000000005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 spans="2:33" x14ac:dyDescent="0.2">
      <c r="B30" s="74"/>
      <c r="C30" s="114">
        <v>0.16800000000000001</v>
      </c>
      <c r="D30" s="114">
        <v>0.40100000000000002</v>
      </c>
      <c r="E30" s="114">
        <v>0.69899999999999995</v>
      </c>
      <c r="F30" s="114">
        <v>0.56799999999999995</v>
      </c>
      <c r="G30" s="141">
        <v>0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</row>
    <row r="31" spans="2:33" x14ac:dyDescent="0.2">
      <c r="B31" s="7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</row>
    <row r="32" spans="2:33" x14ac:dyDescent="0.2">
      <c r="B32" s="74" t="s">
        <v>138</v>
      </c>
      <c r="C32" s="114">
        <v>-0.32100000000000001</v>
      </c>
      <c r="D32" s="114">
        <v>5.8000000000000003E-2</v>
      </c>
      <c r="E32" s="114">
        <v>0.24</v>
      </c>
      <c r="F32" s="114">
        <v>1.7999999999999999E-2</v>
      </c>
      <c r="G32" s="114">
        <v>0.59399999999999997</v>
      </c>
      <c r="H32" s="114">
        <v>0.70699999999999996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 spans="2:32" x14ac:dyDescent="0.2">
      <c r="B33" s="74"/>
      <c r="C33" s="114">
        <v>0.33600000000000002</v>
      </c>
      <c r="D33" s="114">
        <v>0.86399999999999999</v>
      </c>
      <c r="E33" s="114">
        <v>0.47799999999999998</v>
      </c>
      <c r="F33" s="114">
        <v>0.95899999999999996</v>
      </c>
      <c r="G33" s="114">
        <v>5.3999999999999999E-2</v>
      </c>
      <c r="H33" s="114">
        <v>1.4999999999999999E-2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 spans="2:32" x14ac:dyDescent="0.2">
      <c r="B34" s="7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F34" s="74"/>
    </row>
    <row r="35" spans="2:32" x14ac:dyDescent="0.2">
      <c r="B35" s="74" t="s">
        <v>139</v>
      </c>
      <c r="C35" s="114">
        <v>-0.432</v>
      </c>
      <c r="D35" s="114">
        <v>-0.222</v>
      </c>
      <c r="E35" s="114">
        <v>-0.125</v>
      </c>
      <c r="F35" s="114">
        <v>-0.19400000000000001</v>
      </c>
      <c r="G35" s="204">
        <v>0.85099999999999998</v>
      </c>
      <c r="H35" s="204">
        <v>0.88500000000000001</v>
      </c>
      <c r="I35" s="114">
        <v>0.77200000000000002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6" spans="2:32" x14ac:dyDescent="0.2">
      <c r="B36" s="74"/>
      <c r="C36" s="114">
        <v>0.184</v>
      </c>
      <c r="D36" s="114">
        <v>0.51200000000000001</v>
      </c>
      <c r="E36" s="114">
        <v>0.71399999999999997</v>
      </c>
      <c r="F36" s="114">
        <v>0.56899999999999995</v>
      </c>
      <c r="G36" s="141">
        <v>1E-3</v>
      </c>
      <c r="H36" s="141">
        <v>0</v>
      </c>
      <c r="I36" s="114">
        <v>5.0000000000000001E-3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</row>
    <row r="37" spans="2:32" x14ac:dyDescent="0.2">
      <c r="B37" s="7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</row>
    <row r="38" spans="2:32" x14ac:dyDescent="0.2">
      <c r="B38" s="74" t="s">
        <v>1</v>
      </c>
      <c r="C38" s="204">
        <v>0.89500000000000002</v>
      </c>
      <c r="D38" s="114">
        <v>0.69399999999999995</v>
      </c>
      <c r="E38" s="114">
        <v>-0.40899999999999997</v>
      </c>
      <c r="F38" s="204">
        <v>0.86399999999999999</v>
      </c>
      <c r="G38" s="114">
        <v>-0.56699999999999995</v>
      </c>
      <c r="H38" s="114">
        <v>-0.47899999999999998</v>
      </c>
      <c r="I38" s="114">
        <v>-0.31</v>
      </c>
      <c r="J38" s="114">
        <v>-0.35699999999999998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F38" s="74"/>
    </row>
    <row r="39" spans="2:32" x14ac:dyDescent="0.2">
      <c r="B39" s="74"/>
      <c r="C39" s="141">
        <v>0</v>
      </c>
      <c r="D39" s="114">
        <v>1.7999999999999999E-2</v>
      </c>
      <c r="E39" s="114">
        <v>0.21099999999999999</v>
      </c>
      <c r="F39" s="141">
        <v>1E-3</v>
      </c>
      <c r="G39" s="114">
        <v>6.9000000000000006E-2</v>
      </c>
      <c r="H39" s="114">
        <v>0.13600000000000001</v>
      </c>
      <c r="I39" s="114">
        <v>0.35399999999999998</v>
      </c>
      <c r="J39" s="114">
        <v>0.28199999999999997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2:32" x14ac:dyDescent="0.2">
      <c r="B40" s="74"/>
      <c r="C40" s="141"/>
      <c r="D40" s="114"/>
      <c r="E40" s="114"/>
      <c r="F40" s="141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</row>
    <row r="41" spans="2:32" x14ac:dyDescent="0.2">
      <c r="B41" s="74" t="s">
        <v>2</v>
      </c>
      <c r="C41" s="204">
        <v>0.77400000000000002</v>
      </c>
      <c r="D41" s="114">
        <v>0.70699999999999996</v>
      </c>
      <c r="E41" s="114">
        <v>-0.438</v>
      </c>
      <c r="F41" s="204">
        <v>0.86299999999999999</v>
      </c>
      <c r="G41" s="114">
        <v>-0.29299999999999998</v>
      </c>
      <c r="H41" s="114">
        <v>-0.14399999999999999</v>
      </c>
      <c r="I41" s="114">
        <v>-0.115</v>
      </c>
      <c r="J41" s="114">
        <v>-6.7000000000000004E-2</v>
      </c>
      <c r="K41" s="204">
        <v>0.88500000000000001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</row>
    <row r="42" spans="2:32" x14ac:dyDescent="0.2">
      <c r="B42" s="74"/>
      <c r="C42" s="141">
        <v>5.0000000000000001E-3</v>
      </c>
      <c r="D42" s="114">
        <v>1.4999999999999999E-2</v>
      </c>
      <c r="E42" s="114">
        <v>0.17799999999999999</v>
      </c>
      <c r="F42" s="141">
        <v>1E-3</v>
      </c>
      <c r="G42" s="114">
        <v>0.38200000000000001</v>
      </c>
      <c r="H42" s="114">
        <v>0.67300000000000004</v>
      </c>
      <c r="I42" s="114">
        <v>0.73699999999999999</v>
      </c>
      <c r="J42" s="114">
        <v>0.84399999999999997</v>
      </c>
      <c r="K42" s="141">
        <v>0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2:32" x14ac:dyDescent="0.2">
      <c r="B43" s="7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F43" s="74"/>
    </row>
    <row r="44" spans="2:32" x14ac:dyDescent="0.2">
      <c r="B44" s="74" t="s">
        <v>114</v>
      </c>
      <c r="C44" s="114">
        <v>-0.16400000000000001</v>
      </c>
      <c r="D44" s="114">
        <v>-0.52700000000000002</v>
      </c>
      <c r="E44" s="114">
        <v>-0.65</v>
      </c>
      <c r="F44" s="114">
        <v>-0.28999999999999998</v>
      </c>
      <c r="G44" s="114">
        <v>0.49</v>
      </c>
      <c r="H44" s="114">
        <v>0.28399999999999997</v>
      </c>
      <c r="I44" s="114">
        <v>-0.184</v>
      </c>
      <c r="J44" s="114">
        <v>0.437</v>
      </c>
      <c r="K44" s="114">
        <v>-0.1</v>
      </c>
      <c r="L44" s="114">
        <v>1.7999999999999999E-2</v>
      </c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2:32" x14ac:dyDescent="0.2">
      <c r="B45" s="74"/>
      <c r="C45" s="114">
        <v>0.63</v>
      </c>
      <c r="D45" s="114">
        <v>9.6000000000000002E-2</v>
      </c>
      <c r="E45" s="114">
        <v>3.1E-2</v>
      </c>
      <c r="F45" s="114">
        <v>0.38600000000000001</v>
      </c>
      <c r="G45" s="114">
        <v>0.126</v>
      </c>
      <c r="H45" s="114">
        <v>0.39700000000000002</v>
      </c>
      <c r="I45" s="114">
        <v>0.58899999999999997</v>
      </c>
      <c r="J45" s="114">
        <v>0.17799999999999999</v>
      </c>
      <c r="K45" s="114">
        <v>0.77</v>
      </c>
      <c r="L45" s="114">
        <v>0.95799999999999996</v>
      </c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</row>
    <row r="46" spans="2:32" x14ac:dyDescent="0.2">
      <c r="B46" s="7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</row>
    <row r="47" spans="2:32" x14ac:dyDescent="0.2">
      <c r="B47" s="74" t="s">
        <v>140</v>
      </c>
      <c r="C47" s="114">
        <v>-0.39400000000000002</v>
      </c>
      <c r="D47" s="114">
        <v>-0.16700000000000001</v>
      </c>
      <c r="E47" s="114">
        <v>0.22500000000000001</v>
      </c>
      <c r="F47" s="114">
        <v>-0.20200000000000001</v>
      </c>
      <c r="G47" s="114">
        <v>0.64500000000000002</v>
      </c>
      <c r="H47" s="114">
        <v>0.70499999999999996</v>
      </c>
      <c r="I47" s="204">
        <v>0.91300000000000003</v>
      </c>
      <c r="J47" s="114">
        <v>0.82199999999999995</v>
      </c>
      <c r="K47" s="114">
        <v>-0.41299999999999998</v>
      </c>
      <c r="L47" s="114">
        <v>-0.20399999999999999</v>
      </c>
      <c r="M47" s="114">
        <v>-5.0000000000000001E-3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2:32" x14ac:dyDescent="0.2">
      <c r="B48" s="74"/>
      <c r="C48" s="114">
        <v>0.23</v>
      </c>
      <c r="D48" s="114">
        <v>0.623</v>
      </c>
      <c r="E48" s="114">
        <v>0.50700000000000001</v>
      </c>
      <c r="F48" s="114">
        <v>0.55200000000000005</v>
      </c>
      <c r="G48" s="114">
        <v>3.2000000000000001E-2</v>
      </c>
      <c r="H48" s="114">
        <v>1.4999999999999999E-2</v>
      </c>
      <c r="I48" s="141">
        <v>0</v>
      </c>
      <c r="J48" s="114">
        <v>2E-3</v>
      </c>
      <c r="K48" s="114">
        <v>0.20699999999999999</v>
      </c>
      <c r="L48" s="114">
        <v>0.54800000000000004</v>
      </c>
      <c r="M48" s="114">
        <v>0.98799999999999999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F48" s="74"/>
    </row>
    <row r="49" spans="2:27" x14ac:dyDescent="0.2">
      <c r="B49" s="7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 spans="2:27" x14ac:dyDescent="0.2">
      <c r="B50" s="74" t="s">
        <v>141</v>
      </c>
      <c r="C50" s="114">
        <v>-0.20699999999999999</v>
      </c>
      <c r="D50" s="114">
        <v>0.29399999999999998</v>
      </c>
      <c r="E50" s="114">
        <v>-0.16900000000000001</v>
      </c>
      <c r="F50" s="114">
        <v>0.1</v>
      </c>
      <c r="G50" s="114">
        <v>0.214</v>
      </c>
      <c r="H50" s="114">
        <v>0.42199999999999999</v>
      </c>
      <c r="I50" s="114">
        <v>0.35399999999999998</v>
      </c>
      <c r="J50" s="114">
        <v>0.59399999999999997</v>
      </c>
      <c r="K50" s="114">
        <v>0.114</v>
      </c>
      <c r="L50" s="114">
        <v>0.29699999999999999</v>
      </c>
      <c r="M50" s="114">
        <v>0.23599999999999999</v>
      </c>
      <c r="N50" s="114">
        <v>0.42499999999999999</v>
      </c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</row>
    <row r="51" spans="2:27" x14ac:dyDescent="0.2">
      <c r="B51" s="74"/>
      <c r="C51" s="114">
        <v>0.54200000000000004</v>
      </c>
      <c r="D51" s="114">
        <v>0.38</v>
      </c>
      <c r="E51" s="114">
        <v>0.61799999999999999</v>
      </c>
      <c r="F51" s="114">
        <v>0.77100000000000002</v>
      </c>
      <c r="G51" s="114">
        <v>0.52700000000000002</v>
      </c>
      <c r="H51" s="114">
        <v>0.19600000000000001</v>
      </c>
      <c r="I51" s="114">
        <v>0.28499999999999998</v>
      </c>
      <c r="J51" s="114">
        <v>5.3999999999999999E-2</v>
      </c>
      <c r="K51" s="114">
        <v>0.73799999999999999</v>
      </c>
      <c r="L51" s="114">
        <v>0.375</v>
      </c>
      <c r="M51" s="114">
        <v>0.48499999999999999</v>
      </c>
      <c r="N51" s="114">
        <v>0.193</v>
      </c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</row>
    <row r="52" spans="2:27" x14ac:dyDescent="0.2">
      <c r="B52" s="7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</row>
    <row r="53" spans="2:27" x14ac:dyDescent="0.2">
      <c r="B53" s="74" t="s">
        <v>142</v>
      </c>
      <c r="C53" s="114">
        <v>-0.30599999999999999</v>
      </c>
      <c r="D53" s="114">
        <v>0.12</v>
      </c>
      <c r="E53" s="114">
        <v>0.18</v>
      </c>
      <c r="F53" s="114">
        <v>2.5000000000000001E-2</v>
      </c>
      <c r="G53" s="114">
        <v>0.54</v>
      </c>
      <c r="H53" s="114">
        <v>0.67100000000000004</v>
      </c>
      <c r="I53" s="204">
        <v>0.98499999999999999</v>
      </c>
      <c r="J53" s="204">
        <v>0.79500000000000004</v>
      </c>
      <c r="K53" s="114">
        <v>-0.247</v>
      </c>
      <c r="L53" s="114">
        <v>-4.8000000000000001E-2</v>
      </c>
      <c r="M53" s="114">
        <v>-0.14799999999999999</v>
      </c>
      <c r="N53" s="204">
        <v>0.93</v>
      </c>
      <c r="O53" s="114">
        <v>0.46700000000000003</v>
      </c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</row>
    <row r="54" spans="2:27" x14ac:dyDescent="0.2">
      <c r="B54" s="74"/>
      <c r="C54" s="114">
        <v>0.35899999999999999</v>
      </c>
      <c r="D54" s="114">
        <v>0.72599999999999998</v>
      </c>
      <c r="E54" s="114">
        <v>0.59699999999999998</v>
      </c>
      <c r="F54" s="114">
        <v>0.94199999999999995</v>
      </c>
      <c r="G54" s="114">
        <v>8.5999999999999993E-2</v>
      </c>
      <c r="H54" s="114">
        <v>2.4E-2</v>
      </c>
      <c r="I54" s="141">
        <v>0</v>
      </c>
      <c r="J54" s="141">
        <v>3.0000000000000001E-3</v>
      </c>
      <c r="K54" s="114">
        <v>0.46400000000000002</v>
      </c>
      <c r="L54" s="114">
        <v>0.88800000000000001</v>
      </c>
      <c r="M54" s="114">
        <v>0.66300000000000003</v>
      </c>
      <c r="N54" s="141">
        <v>0</v>
      </c>
      <c r="O54" s="114">
        <v>0.14699999999999999</v>
      </c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</row>
    <row r="55" spans="2:27" x14ac:dyDescent="0.2">
      <c r="B55" s="7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</row>
    <row r="56" spans="2:27" x14ac:dyDescent="0.2">
      <c r="B56" s="74" t="s">
        <v>72</v>
      </c>
      <c r="C56" s="114">
        <v>-0.28599999999999998</v>
      </c>
      <c r="D56" s="114">
        <v>0.28199999999999997</v>
      </c>
      <c r="E56" s="114">
        <v>-0.314</v>
      </c>
      <c r="F56" s="114">
        <v>8.9999999999999993E-3</v>
      </c>
      <c r="G56" s="114">
        <v>0.24299999999999999</v>
      </c>
      <c r="H56" s="114">
        <v>0.40899999999999997</v>
      </c>
      <c r="I56" s="114">
        <v>0.371</v>
      </c>
      <c r="J56" s="114">
        <v>0.65200000000000002</v>
      </c>
      <c r="K56" s="114">
        <v>7.1999999999999995E-2</v>
      </c>
      <c r="L56" s="114">
        <v>0.26100000000000001</v>
      </c>
      <c r="M56" s="114">
        <v>0.35899999999999999</v>
      </c>
      <c r="N56" s="114">
        <v>0.37</v>
      </c>
      <c r="O56" s="204">
        <v>0.876</v>
      </c>
      <c r="P56" s="114">
        <v>0.48399999999999999</v>
      </c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</row>
    <row r="57" spans="2:27" x14ac:dyDescent="0.2">
      <c r="B57" s="74"/>
      <c r="C57" s="114">
        <v>0.39400000000000002</v>
      </c>
      <c r="D57" s="114">
        <v>0.40100000000000002</v>
      </c>
      <c r="E57" s="114">
        <v>0.34699999999999998</v>
      </c>
      <c r="F57" s="114">
        <v>0.97799999999999998</v>
      </c>
      <c r="G57" s="114">
        <v>0.47099999999999997</v>
      </c>
      <c r="H57" s="114">
        <v>0.21199999999999999</v>
      </c>
      <c r="I57" s="114">
        <v>0.26100000000000001</v>
      </c>
      <c r="J57" s="114">
        <v>0.03</v>
      </c>
      <c r="K57" s="114">
        <v>0.83299999999999996</v>
      </c>
      <c r="L57" s="114">
        <v>0.438</v>
      </c>
      <c r="M57" s="114">
        <v>0.27800000000000002</v>
      </c>
      <c r="N57" s="114">
        <v>0.26200000000000001</v>
      </c>
      <c r="O57" s="141">
        <v>0</v>
      </c>
      <c r="P57" s="114">
        <v>0.13100000000000001</v>
      </c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</row>
    <row r="58" spans="2:27" x14ac:dyDescent="0.2">
      <c r="B58" s="7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</row>
    <row r="59" spans="2:27" x14ac:dyDescent="0.2">
      <c r="B59" s="74" t="s">
        <v>34</v>
      </c>
      <c r="C59" s="114">
        <v>-0.19900000000000001</v>
      </c>
      <c r="D59" s="114">
        <v>8.2000000000000003E-2</v>
      </c>
      <c r="E59" s="114">
        <v>-6.9000000000000006E-2</v>
      </c>
      <c r="F59" s="114">
        <v>-0.104</v>
      </c>
      <c r="G59" s="114">
        <v>0.434</v>
      </c>
      <c r="H59" s="114">
        <v>0.6</v>
      </c>
      <c r="I59" s="114">
        <v>0.19500000000000001</v>
      </c>
      <c r="J59" s="114">
        <v>0.53500000000000003</v>
      </c>
      <c r="K59" s="114">
        <v>-0.11899999999999999</v>
      </c>
      <c r="L59" s="114">
        <v>0.27200000000000002</v>
      </c>
      <c r="M59" s="114">
        <v>0.32100000000000001</v>
      </c>
      <c r="N59" s="114">
        <v>0.251</v>
      </c>
      <c r="O59" s="114">
        <v>0.46700000000000003</v>
      </c>
      <c r="P59" s="114">
        <v>0.246</v>
      </c>
      <c r="Q59" s="114">
        <v>0.56299999999999994</v>
      </c>
      <c r="R59" s="114"/>
      <c r="S59" s="114"/>
      <c r="T59" s="114"/>
      <c r="U59" s="114"/>
      <c r="V59" s="114"/>
      <c r="W59" s="114"/>
      <c r="X59" s="114"/>
      <c r="Y59" s="114"/>
      <c r="Z59" s="114"/>
      <c r="AA59" s="114"/>
    </row>
    <row r="60" spans="2:27" x14ac:dyDescent="0.2">
      <c r="B60" s="74"/>
      <c r="C60" s="114">
        <v>0.55800000000000005</v>
      </c>
      <c r="D60" s="114">
        <v>0.81100000000000005</v>
      </c>
      <c r="E60" s="114">
        <v>0.84</v>
      </c>
      <c r="F60" s="114">
        <v>0.76100000000000001</v>
      </c>
      <c r="G60" s="114">
        <v>0.182</v>
      </c>
      <c r="H60" s="114">
        <v>5.0999999999999997E-2</v>
      </c>
      <c r="I60" s="114">
        <v>0.56599999999999995</v>
      </c>
      <c r="J60" s="114">
        <v>0.09</v>
      </c>
      <c r="K60" s="114">
        <v>0.72799999999999998</v>
      </c>
      <c r="L60" s="114">
        <v>0.41799999999999998</v>
      </c>
      <c r="M60" s="114">
        <v>0.33600000000000002</v>
      </c>
      <c r="N60" s="114">
        <v>0.45700000000000002</v>
      </c>
      <c r="O60" s="114">
        <v>0.14799999999999999</v>
      </c>
      <c r="P60" s="114">
        <v>0.46700000000000003</v>
      </c>
      <c r="Q60" s="114">
        <v>7.0999999999999994E-2</v>
      </c>
      <c r="R60" s="114"/>
      <c r="S60" s="114"/>
      <c r="T60" s="114"/>
      <c r="U60" s="114"/>
      <c r="V60" s="114"/>
      <c r="W60" s="114"/>
      <c r="X60" s="114"/>
      <c r="Y60" s="114"/>
      <c r="Z60" s="114"/>
      <c r="AA60" s="114"/>
    </row>
    <row r="61" spans="2:27" x14ac:dyDescent="0.2">
      <c r="B61" s="7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</row>
    <row r="62" spans="2:27" x14ac:dyDescent="0.2">
      <c r="B62" s="74" t="s">
        <v>132</v>
      </c>
      <c r="C62" s="114">
        <v>-0.109</v>
      </c>
      <c r="D62" s="114">
        <v>7.3999999999999996E-2</v>
      </c>
      <c r="E62" s="114">
        <v>-0.02</v>
      </c>
      <c r="F62" s="114">
        <v>-7.1999999999999995E-2</v>
      </c>
      <c r="G62" s="114">
        <v>0.44500000000000001</v>
      </c>
      <c r="H62" s="114">
        <v>0.55600000000000005</v>
      </c>
      <c r="I62" s="114">
        <v>0.22600000000000001</v>
      </c>
      <c r="J62" s="114">
        <v>0.40100000000000002</v>
      </c>
      <c r="K62" s="114">
        <v>-0.19400000000000001</v>
      </c>
      <c r="L62" s="114">
        <v>0.191</v>
      </c>
      <c r="M62" s="114">
        <v>0.13100000000000001</v>
      </c>
      <c r="N62" s="114">
        <v>0.21199999999999999</v>
      </c>
      <c r="O62" s="114">
        <v>9.2999999999999999E-2</v>
      </c>
      <c r="P62" s="114">
        <v>0.223</v>
      </c>
      <c r="Q62" s="114">
        <v>0.23499999999999999</v>
      </c>
      <c r="R62" s="204">
        <v>0.88800000000000001</v>
      </c>
      <c r="S62" s="114"/>
      <c r="T62" s="114"/>
      <c r="U62" s="114"/>
      <c r="V62" s="114"/>
      <c r="W62" s="114"/>
      <c r="X62" s="114"/>
      <c r="Y62" s="114"/>
      <c r="Z62" s="114"/>
      <c r="AA62" s="114"/>
    </row>
    <row r="63" spans="2:27" x14ac:dyDescent="0.2">
      <c r="B63" s="74"/>
      <c r="C63" s="114">
        <v>0.75</v>
      </c>
      <c r="D63" s="114">
        <v>0.83</v>
      </c>
      <c r="E63" s="114">
        <v>0.95299999999999996</v>
      </c>
      <c r="F63" s="114">
        <v>0.83399999999999996</v>
      </c>
      <c r="G63" s="114">
        <v>0.17</v>
      </c>
      <c r="H63" s="114">
        <v>7.5999999999999998E-2</v>
      </c>
      <c r="I63" s="114">
        <v>0.503</v>
      </c>
      <c r="J63" s="114">
        <v>0.222</v>
      </c>
      <c r="K63" s="114">
        <v>0.56799999999999995</v>
      </c>
      <c r="L63" s="114">
        <v>0.57499999999999996</v>
      </c>
      <c r="M63" s="114">
        <v>0.70199999999999996</v>
      </c>
      <c r="N63" s="114">
        <v>0.53200000000000003</v>
      </c>
      <c r="O63" s="114">
        <v>0.78600000000000003</v>
      </c>
      <c r="P63" s="114">
        <v>0.50900000000000001</v>
      </c>
      <c r="Q63" s="114">
        <v>0.48699999999999999</v>
      </c>
      <c r="R63" s="141">
        <v>0</v>
      </c>
      <c r="S63" s="114"/>
      <c r="T63" s="114"/>
      <c r="U63" s="114"/>
      <c r="V63" s="114"/>
      <c r="W63" s="114"/>
      <c r="X63" s="114"/>
      <c r="Y63" s="114"/>
      <c r="Z63" s="114"/>
      <c r="AA63" s="114"/>
    </row>
    <row r="64" spans="2:27" x14ac:dyDescent="0.2">
      <c r="B64" s="7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</row>
    <row r="65" spans="2:27" x14ac:dyDescent="0.2">
      <c r="B65" s="74" t="s">
        <v>113</v>
      </c>
      <c r="C65" s="114">
        <v>3.6999999999999998E-2</v>
      </c>
      <c r="D65" s="114">
        <v>0.55100000000000005</v>
      </c>
      <c r="E65" s="114">
        <v>-0.27600000000000002</v>
      </c>
      <c r="F65" s="114">
        <v>0.40699999999999997</v>
      </c>
      <c r="G65" s="114">
        <v>-0.17799999999999999</v>
      </c>
      <c r="H65" s="114">
        <v>3.5000000000000003E-2</v>
      </c>
      <c r="I65" s="114">
        <v>8.2000000000000003E-2</v>
      </c>
      <c r="J65" s="114">
        <v>0.214</v>
      </c>
      <c r="K65" s="114">
        <v>0.441</v>
      </c>
      <c r="L65" s="114">
        <v>0.51800000000000002</v>
      </c>
      <c r="M65" s="114">
        <v>0.123</v>
      </c>
      <c r="N65" s="114">
        <v>-1.6E-2</v>
      </c>
      <c r="O65" s="204">
        <v>0.77600000000000002</v>
      </c>
      <c r="P65" s="114">
        <v>0.17899999999999999</v>
      </c>
      <c r="Q65" s="204">
        <v>0.78900000000000003</v>
      </c>
      <c r="R65" s="114">
        <v>0.22500000000000001</v>
      </c>
      <c r="S65" s="114">
        <v>-0.12</v>
      </c>
      <c r="T65" s="114"/>
      <c r="U65" s="114"/>
      <c r="V65" s="114"/>
      <c r="W65" s="114"/>
      <c r="X65" s="114"/>
      <c r="Y65" s="114"/>
      <c r="Z65" s="114"/>
      <c r="AA65" s="114"/>
    </row>
    <row r="66" spans="2:27" x14ac:dyDescent="0.2">
      <c r="B66" s="74"/>
      <c r="C66" s="114">
        <v>0.91400000000000003</v>
      </c>
      <c r="D66" s="114">
        <v>7.9000000000000001E-2</v>
      </c>
      <c r="E66" s="114">
        <v>0.41099999999999998</v>
      </c>
      <c r="F66" s="114">
        <v>0.214</v>
      </c>
      <c r="G66" s="114">
        <v>0.6</v>
      </c>
      <c r="H66" s="114">
        <v>0.91800000000000004</v>
      </c>
      <c r="I66" s="114">
        <v>0.81200000000000006</v>
      </c>
      <c r="J66" s="114">
        <v>0.52700000000000002</v>
      </c>
      <c r="K66" s="114">
        <v>0.17399999999999999</v>
      </c>
      <c r="L66" s="114">
        <v>0.10299999999999999</v>
      </c>
      <c r="M66" s="114">
        <v>0.71799999999999997</v>
      </c>
      <c r="N66" s="114">
        <v>0.96199999999999997</v>
      </c>
      <c r="O66" s="141">
        <v>5.0000000000000001E-3</v>
      </c>
      <c r="P66" s="114">
        <v>0.59899999999999998</v>
      </c>
      <c r="Q66" s="141">
        <v>4.0000000000000001E-3</v>
      </c>
      <c r="R66" s="114">
        <v>0.50700000000000001</v>
      </c>
      <c r="S66" s="114">
        <v>0.72599999999999998</v>
      </c>
      <c r="T66" s="114"/>
      <c r="U66" s="114"/>
      <c r="V66" s="114"/>
      <c r="W66" s="114"/>
      <c r="X66" s="114"/>
      <c r="Y66" s="114"/>
      <c r="Z66" s="114"/>
      <c r="AA66" s="114"/>
    </row>
    <row r="67" spans="2:27" x14ac:dyDescent="0.2">
      <c r="B67" s="7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</row>
    <row r="68" spans="2:27" x14ac:dyDescent="0.2">
      <c r="B68" s="74" t="s">
        <v>135</v>
      </c>
      <c r="C68" s="114">
        <v>-0.50800000000000001</v>
      </c>
      <c r="D68" s="114">
        <v>-0.52700000000000002</v>
      </c>
      <c r="E68" s="114">
        <v>-2.4E-2</v>
      </c>
      <c r="F68" s="114">
        <v>-0.434</v>
      </c>
      <c r="G68" s="204">
        <v>0.84599999999999997</v>
      </c>
      <c r="H68" s="204">
        <v>0.75600000000000001</v>
      </c>
      <c r="I68" s="114">
        <v>0.35</v>
      </c>
      <c r="J68" s="114">
        <v>0.62</v>
      </c>
      <c r="K68" s="114">
        <v>-0.59499999999999997</v>
      </c>
      <c r="L68" s="114">
        <v>-0.443</v>
      </c>
      <c r="M68" s="114">
        <v>0.435</v>
      </c>
      <c r="N68" s="114">
        <v>0.33400000000000002</v>
      </c>
      <c r="O68" s="114">
        <v>6.0999999999999999E-2</v>
      </c>
      <c r="P68" s="114">
        <v>0.27800000000000002</v>
      </c>
      <c r="Q68" s="114">
        <v>0.13200000000000001</v>
      </c>
      <c r="R68" s="114">
        <v>0.35599999999999998</v>
      </c>
      <c r="S68" s="114">
        <v>0.39800000000000002</v>
      </c>
      <c r="T68" s="114">
        <v>-0.28499999999999998</v>
      </c>
      <c r="U68" s="114"/>
      <c r="V68" s="114"/>
      <c r="W68" s="114"/>
      <c r="X68" s="114"/>
      <c r="Y68" s="114"/>
      <c r="Z68" s="114"/>
      <c r="AA68" s="114"/>
    </row>
    <row r="69" spans="2:27" x14ac:dyDescent="0.2">
      <c r="B69" s="74"/>
      <c r="C69" s="114">
        <v>0.111</v>
      </c>
      <c r="D69" s="114">
        <v>9.6000000000000002E-2</v>
      </c>
      <c r="E69" s="114">
        <v>0.94399999999999995</v>
      </c>
      <c r="F69" s="114">
        <v>0.183</v>
      </c>
      <c r="G69" s="141">
        <v>1E-3</v>
      </c>
      <c r="H69" s="141">
        <v>7.0000000000000001E-3</v>
      </c>
      <c r="I69" s="114">
        <v>0.29099999999999998</v>
      </c>
      <c r="J69" s="114">
        <v>4.2000000000000003E-2</v>
      </c>
      <c r="K69" s="114">
        <v>5.2999999999999999E-2</v>
      </c>
      <c r="L69" s="114">
        <v>0.17199999999999999</v>
      </c>
      <c r="M69" s="114">
        <v>0.18099999999999999</v>
      </c>
      <c r="N69" s="114">
        <v>0.316</v>
      </c>
      <c r="O69" s="114">
        <v>0.85799999999999998</v>
      </c>
      <c r="P69" s="114">
        <v>0.40699999999999997</v>
      </c>
      <c r="Q69" s="114">
        <v>0.69899999999999995</v>
      </c>
      <c r="R69" s="114">
        <v>0.28299999999999997</v>
      </c>
      <c r="S69" s="114">
        <v>0.22600000000000001</v>
      </c>
      <c r="T69" s="114">
        <v>0.39600000000000002</v>
      </c>
      <c r="U69" s="114"/>
      <c r="V69" s="114"/>
      <c r="W69" s="114"/>
      <c r="X69" s="114"/>
      <c r="Y69" s="114"/>
      <c r="Z69" s="114"/>
      <c r="AA69" s="114"/>
    </row>
    <row r="70" spans="2:27" x14ac:dyDescent="0.2">
      <c r="B70" s="7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</row>
    <row r="71" spans="2:27" x14ac:dyDescent="0.2">
      <c r="B71" s="7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  <c r="O71" s="115"/>
      <c r="P71" s="114"/>
      <c r="Q71" s="115"/>
      <c r="R71" s="114"/>
      <c r="S71" s="115"/>
      <c r="T71" s="115"/>
      <c r="U71" s="115"/>
      <c r="V71" s="114"/>
      <c r="W71" s="114"/>
      <c r="X71" s="114"/>
      <c r="Y71" s="114"/>
      <c r="Z71" s="114"/>
      <c r="AA71" s="114"/>
    </row>
    <row r="72" spans="2:27" x14ac:dyDescent="0.2">
      <c r="B72" s="7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  <c r="O72" s="115"/>
      <c r="P72" s="114"/>
      <c r="Q72" s="115"/>
      <c r="R72" s="114"/>
      <c r="S72" s="115"/>
      <c r="T72" s="115"/>
      <c r="U72" s="115"/>
      <c r="V72" s="114"/>
      <c r="W72" s="114"/>
      <c r="X72" s="114"/>
      <c r="Y72" s="114"/>
      <c r="Z72" s="114"/>
      <c r="AA72" s="114"/>
    </row>
    <row r="73" spans="2:27" x14ac:dyDescent="0.2">
      <c r="B73" s="7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</row>
    <row r="74" spans="2:27" x14ac:dyDescent="0.2">
      <c r="B74" s="74"/>
      <c r="C74" s="114"/>
      <c r="D74" s="114"/>
      <c r="E74" s="114"/>
      <c r="F74" s="114"/>
      <c r="G74" s="114"/>
      <c r="H74" s="114"/>
      <c r="I74" s="114"/>
      <c r="J74" s="115"/>
      <c r="K74" s="115"/>
      <c r="L74" s="115"/>
      <c r="M74" s="115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</row>
    <row r="75" spans="2:27" x14ac:dyDescent="0.2">
      <c r="B75" s="74"/>
      <c r="C75" s="114"/>
      <c r="D75" s="114"/>
      <c r="E75" s="114"/>
      <c r="F75" s="114"/>
      <c r="G75" s="114"/>
      <c r="H75" s="114"/>
      <c r="I75" s="114"/>
      <c r="J75" s="115"/>
      <c r="K75" s="115"/>
      <c r="L75" s="115"/>
      <c r="M75" s="115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</row>
    <row r="76" spans="2:27" x14ac:dyDescent="0.2">
      <c r="B76" s="7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</row>
    <row r="77" spans="2:27" x14ac:dyDescent="0.2">
      <c r="B77" s="7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</row>
    <row r="78" spans="2:27" x14ac:dyDescent="0.2">
      <c r="B78" s="7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</row>
    <row r="79" spans="2:27" x14ac:dyDescent="0.2">
      <c r="B79" s="7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</row>
    <row r="80" spans="2:27" x14ac:dyDescent="0.2">
      <c r="B80" s="74"/>
      <c r="C80" s="114"/>
      <c r="D80" s="114"/>
      <c r="E80" s="115"/>
      <c r="F80" s="114"/>
      <c r="G80" s="114"/>
      <c r="H80" s="114"/>
      <c r="I80" s="114"/>
      <c r="J80" s="115"/>
      <c r="K80" s="114"/>
      <c r="L80" s="115"/>
      <c r="M80" s="115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</row>
    <row r="81" spans="2:27" x14ac:dyDescent="0.2">
      <c r="B81" s="74"/>
      <c r="C81" s="114"/>
      <c r="D81" s="114"/>
      <c r="E81" s="115"/>
      <c r="F81" s="114"/>
      <c r="G81" s="114"/>
      <c r="H81" s="114"/>
      <c r="I81" s="114"/>
      <c r="J81" s="115"/>
      <c r="K81" s="114"/>
      <c r="L81" s="115"/>
      <c r="M81" s="115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</row>
    <row r="82" spans="2:27" x14ac:dyDescent="0.2">
      <c r="B82" s="7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</row>
    <row r="83" spans="2:27" x14ac:dyDescent="0.2">
      <c r="B83" s="74"/>
      <c r="C83" s="114"/>
      <c r="D83" s="114"/>
      <c r="E83" s="114"/>
      <c r="F83" s="114"/>
      <c r="G83" s="114"/>
      <c r="H83" s="114"/>
      <c r="I83" s="114"/>
      <c r="J83" s="114"/>
      <c r="K83" s="114"/>
      <c r="L83" s="115"/>
      <c r="M83" s="115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5"/>
      <c r="Y83" s="115"/>
      <c r="Z83" s="114"/>
      <c r="AA83" s="114"/>
    </row>
    <row r="84" spans="2:27" x14ac:dyDescent="0.2">
      <c r="B84" s="74"/>
      <c r="C84" s="114"/>
      <c r="D84" s="114"/>
      <c r="E84" s="114"/>
      <c r="F84" s="114"/>
      <c r="G84" s="114"/>
      <c r="H84" s="114"/>
      <c r="I84" s="114"/>
      <c r="J84" s="114"/>
      <c r="K84" s="114"/>
      <c r="L84" s="115"/>
      <c r="M84" s="115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5"/>
      <c r="Y84" s="115"/>
      <c r="Z84" s="114"/>
      <c r="AA84" s="114"/>
    </row>
    <row r="85" spans="2:27" x14ac:dyDescent="0.2">
      <c r="B85" s="7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</row>
    <row r="86" spans="2:27" x14ac:dyDescent="0.2">
      <c r="B86" s="7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</row>
    <row r="87" spans="2:27" x14ac:dyDescent="0.2">
      <c r="B87" s="7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</row>
    <row r="88" spans="2:27" x14ac:dyDescent="0.2">
      <c r="B88" s="7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</row>
    <row r="89" spans="2:27" x14ac:dyDescent="0.2">
      <c r="B89" s="7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/>
      <c r="S89" s="114"/>
      <c r="T89" s="114"/>
      <c r="U89" s="114"/>
      <c r="V89" s="114"/>
      <c r="W89" s="114"/>
      <c r="X89" s="114"/>
      <c r="Y89" s="114"/>
      <c r="Z89" s="114"/>
      <c r="AA89" s="115"/>
    </row>
    <row r="90" spans="2:27" x14ac:dyDescent="0.2">
      <c r="B90" s="7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4"/>
      <c r="T90" s="114"/>
      <c r="U90" s="114"/>
      <c r="V90" s="114"/>
      <c r="W90" s="114"/>
      <c r="X90" s="114"/>
      <c r="Y90" s="114"/>
      <c r="Z90" s="114"/>
      <c r="AA90" s="115"/>
    </row>
    <row r="97" spans="3:28" ht="15" x14ac:dyDescent="0.25">
      <c r="C97" s="116"/>
      <c r="D97" s="117"/>
      <c r="E97" s="118"/>
      <c r="F97" s="118"/>
      <c r="G97" s="119"/>
      <c r="H97" s="119"/>
      <c r="I97" s="116"/>
      <c r="J97" s="116"/>
      <c r="K97" s="116"/>
      <c r="L97" s="116"/>
      <c r="M97" s="116"/>
      <c r="N97" s="116"/>
      <c r="O97" s="116"/>
      <c r="P97" s="116"/>
      <c r="Q97" s="119"/>
      <c r="R97" s="119"/>
      <c r="S97" s="119"/>
      <c r="T97" s="119"/>
      <c r="U97" s="119"/>
      <c r="V97" s="119"/>
      <c r="W97" s="116"/>
      <c r="X97" s="116"/>
      <c r="Y97" s="116"/>
      <c r="Z97" s="119"/>
      <c r="AA97" s="116"/>
      <c r="AB97" s="118"/>
    </row>
    <row r="98" spans="3:28" x14ac:dyDescent="0.2">
      <c r="G98" s="74"/>
      <c r="H98" s="74"/>
      <c r="I98" s="74"/>
    </row>
    <row r="99" spans="3:28" ht="15" x14ac:dyDescent="0.25">
      <c r="C99" s="116"/>
      <c r="D99" s="120"/>
      <c r="E99" s="120"/>
      <c r="F99" s="120"/>
      <c r="G99" s="120"/>
      <c r="H99" s="120"/>
      <c r="I99" s="120"/>
    </row>
    <row r="100" spans="3:28" ht="15" x14ac:dyDescent="0.25">
      <c r="C100" s="117"/>
      <c r="D100" s="120"/>
      <c r="E100" s="120"/>
      <c r="F100" s="120"/>
      <c r="G100" s="120"/>
      <c r="H100" s="120"/>
      <c r="I100" s="120"/>
    </row>
    <row r="101" spans="3:28" ht="15" x14ac:dyDescent="0.25">
      <c r="C101" s="118"/>
      <c r="D101" s="120"/>
      <c r="E101" s="120"/>
      <c r="F101" s="120"/>
      <c r="G101" s="120"/>
      <c r="H101" s="120"/>
      <c r="I101" s="120"/>
    </row>
    <row r="102" spans="3:28" ht="15" x14ac:dyDescent="0.25">
      <c r="C102" s="118"/>
      <c r="D102" s="120"/>
      <c r="E102" s="120"/>
      <c r="F102" s="120"/>
      <c r="G102" s="120"/>
      <c r="H102" s="120"/>
      <c r="I102" s="120"/>
    </row>
    <row r="103" spans="3:28" ht="15" x14ac:dyDescent="0.25">
      <c r="C103" s="119"/>
      <c r="D103" s="120"/>
      <c r="E103" s="120"/>
      <c r="F103" s="120"/>
      <c r="G103" s="120"/>
      <c r="H103" s="120"/>
      <c r="I103" s="120"/>
    </row>
    <row r="104" spans="3:28" ht="15" x14ac:dyDescent="0.25">
      <c r="C104" s="119"/>
      <c r="D104" s="120"/>
      <c r="E104" s="120"/>
      <c r="F104" s="120"/>
      <c r="G104" s="120"/>
      <c r="H104" s="120"/>
      <c r="I104" s="120"/>
    </row>
    <row r="105" spans="3:28" ht="15" x14ac:dyDescent="0.25">
      <c r="C105" s="116"/>
      <c r="D105" s="120"/>
      <c r="E105" s="120"/>
      <c r="F105" s="120"/>
      <c r="G105" s="120"/>
      <c r="H105" s="120"/>
      <c r="I105" s="120"/>
    </row>
    <row r="106" spans="3:28" ht="15" x14ac:dyDescent="0.25">
      <c r="C106" s="116"/>
      <c r="D106" s="120"/>
      <c r="E106" s="120"/>
      <c r="F106" s="120"/>
      <c r="G106" s="120"/>
      <c r="H106" s="120"/>
      <c r="I106" s="120"/>
    </row>
    <row r="107" spans="3:28" ht="15" x14ac:dyDescent="0.25">
      <c r="C107" s="116"/>
      <c r="D107" s="120"/>
      <c r="E107" s="120"/>
      <c r="F107" s="120"/>
      <c r="G107" s="120"/>
      <c r="H107" s="120"/>
      <c r="I107" s="120"/>
    </row>
    <row r="108" spans="3:28" ht="15" x14ac:dyDescent="0.25">
      <c r="C108" s="116"/>
      <c r="D108" s="120"/>
      <c r="E108" s="120"/>
      <c r="F108" s="120"/>
      <c r="G108" s="120"/>
      <c r="H108" s="120"/>
      <c r="I108" s="120"/>
    </row>
    <row r="109" spans="3:28" ht="15" x14ac:dyDescent="0.25">
      <c r="C109" s="116"/>
      <c r="D109" s="120"/>
      <c r="E109" s="120"/>
      <c r="F109" s="120"/>
      <c r="G109" s="120"/>
      <c r="H109" s="120"/>
      <c r="I109" s="120"/>
    </row>
    <row r="110" spans="3:28" ht="15" x14ac:dyDescent="0.25">
      <c r="C110" s="116"/>
      <c r="D110" s="120"/>
      <c r="E110" s="120"/>
      <c r="F110" s="120"/>
      <c r="G110" s="120"/>
      <c r="H110" s="120"/>
      <c r="I110" s="120"/>
    </row>
    <row r="111" spans="3:28" ht="15" x14ac:dyDescent="0.25">
      <c r="C111" s="116"/>
      <c r="D111" s="120"/>
      <c r="E111" s="120"/>
      <c r="F111" s="120"/>
      <c r="G111" s="120"/>
      <c r="H111" s="120"/>
      <c r="I111" s="120"/>
    </row>
    <row r="112" spans="3:28" ht="15" x14ac:dyDescent="0.25">
      <c r="C112" s="116"/>
      <c r="D112" s="120"/>
      <c r="E112" s="120"/>
      <c r="F112" s="120"/>
      <c r="G112" s="120"/>
      <c r="H112" s="120"/>
      <c r="I112" s="120"/>
    </row>
    <row r="113" spans="3:9" ht="15" x14ac:dyDescent="0.25">
      <c r="C113" s="119"/>
      <c r="D113" s="120"/>
      <c r="E113" s="120"/>
      <c r="F113" s="120"/>
      <c r="G113" s="120"/>
      <c r="H113" s="120"/>
      <c r="I113" s="120"/>
    </row>
    <row r="114" spans="3:9" ht="15" x14ac:dyDescent="0.25">
      <c r="C114" s="119"/>
      <c r="D114" s="120"/>
      <c r="E114" s="120"/>
      <c r="F114" s="120"/>
      <c r="G114" s="120"/>
      <c r="H114" s="120"/>
      <c r="I114" s="120"/>
    </row>
    <row r="115" spans="3:9" ht="15" x14ac:dyDescent="0.25">
      <c r="C115" s="119"/>
      <c r="D115" s="120"/>
      <c r="E115" s="120"/>
      <c r="F115" s="120"/>
      <c r="G115" s="120"/>
      <c r="H115" s="120"/>
      <c r="I115" s="120"/>
    </row>
    <row r="116" spans="3:9" ht="15" x14ac:dyDescent="0.25">
      <c r="C116" s="119"/>
      <c r="D116" s="120"/>
      <c r="E116" s="120"/>
      <c r="F116" s="120"/>
      <c r="G116" s="120"/>
      <c r="H116" s="120"/>
      <c r="I116" s="120"/>
    </row>
    <row r="117" spans="3:9" ht="15" x14ac:dyDescent="0.25">
      <c r="C117" s="119"/>
      <c r="D117" s="120"/>
      <c r="E117" s="120"/>
      <c r="F117" s="120"/>
      <c r="G117" s="120"/>
      <c r="H117" s="120"/>
      <c r="I117" s="120"/>
    </row>
    <row r="118" spans="3:9" ht="15" x14ac:dyDescent="0.25">
      <c r="C118" s="119"/>
      <c r="D118" s="120"/>
      <c r="E118" s="120"/>
      <c r="F118" s="120"/>
      <c r="G118" s="120"/>
      <c r="H118" s="120"/>
      <c r="I118" s="120"/>
    </row>
    <row r="119" spans="3:9" ht="15" x14ac:dyDescent="0.25">
      <c r="C119" s="116"/>
      <c r="D119" s="120"/>
      <c r="E119" s="120"/>
      <c r="F119" s="120"/>
      <c r="G119" s="120"/>
      <c r="H119" s="120"/>
      <c r="I119" s="120"/>
    </row>
    <row r="120" spans="3:9" ht="15" x14ac:dyDescent="0.25">
      <c r="C120" s="116"/>
      <c r="D120" s="120"/>
      <c r="E120" s="120"/>
      <c r="F120" s="120"/>
      <c r="G120" s="120"/>
      <c r="H120" s="120"/>
      <c r="I120" s="120"/>
    </row>
    <row r="121" spans="3:9" ht="15" x14ac:dyDescent="0.25">
      <c r="C121" s="116"/>
      <c r="D121" s="120"/>
      <c r="E121" s="120"/>
      <c r="F121" s="120"/>
      <c r="G121" s="120"/>
      <c r="H121" s="120"/>
      <c r="I121" s="120"/>
    </row>
    <row r="122" spans="3:9" ht="15" x14ac:dyDescent="0.25">
      <c r="C122" s="119"/>
      <c r="D122" s="120"/>
      <c r="E122" s="120"/>
      <c r="F122" s="120"/>
      <c r="G122" s="120"/>
      <c r="H122" s="120"/>
      <c r="I122" s="120"/>
    </row>
    <row r="123" spans="3:9" ht="15" x14ac:dyDescent="0.25">
      <c r="C123" s="116"/>
      <c r="D123" s="120"/>
      <c r="E123" s="120"/>
      <c r="F123" s="120"/>
      <c r="G123" s="120"/>
      <c r="H123" s="120"/>
      <c r="I123" s="120"/>
    </row>
    <row r="124" spans="3:9" ht="15" x14ac:dyDescent="0.25">
      <c r="C124" s="118"/>
      <c r="D124" s="120"/>
      <c r="E124" s="120"/>
      <c r="F124" s="120"/>
      <c r="G124" s="120"/>
      <c r="H124" s="120"/>
      <c r="I124" s="120"/>
    </row>
    <row r="125" spans="3:9" ht="15" x14ac:dyDescent="0.25">
      <c r="D125" s="120"/>
      <c r="E125" s="120"/>
      <c r="F125" s="120"/>
      <c r="G125" s="120"/>
      <c r="H125" s="120"/>
      <c r="I125" s="120"/>
    </row>
    <row r="126" spans="3:9" ht="15" x14ac:dyDescent="0.25">
      <c r="D126" s="120"/>
      <c r="E126" s="120"/>
      <c r="F126" s="120"/>
      <c r="G126" s="120"/>
      <c r="H126" s="120"/>
      <c r="I126" s="120"/>
    </row>
    <row r="127" spans="3:9" ht="15" x14ac:dyDescent="0.25">
      <c r="D127" s="120"/>
      <c r="E127" s="120"/>
      <c r="F127" s="120"/>
      <c r="G127" s="120"/>
      <c r="H127" s="120"/>
      <c r="I127" s="120"/>
    </row>
    <row r="128" spans="3:9" ht="15" x14ac:dyDescent="0.25">
      <c r="D128" s="120"/>
      <c r="E128" s="120"/>
      <c r="F128" s="120"/>
      <c r="G128" s="120"/>
      <c r="H128" s="120"/>
      <c r="I128" s="120"/>
    </row>
    <row r="129" spans="4:9" ht="15" x14ac:dyDescent="0.25">
      <c r="D129" s="120"/>
      <c r="E129" s="120"/>
      <c r="F129" s="120"/>
      <c r="G129" s="120"/>
      <c r="H129" s="120"/>
      <c r="I129" s="120"/>
    </row>
    <row r="130" spans="4:9" ht="15" x14ac:dyDescent="0.25">
      <c r="D130" s="120"/>
      <c r="E130" s="120"/>
      <c r="F130" s="120"/>
      <c r="G130" s="120"/>
      <c r="H130" s="120"/>
      <c r="I130" s="120"/>
    </row>
    <row r="131" spans="4:9" ht="15" x14ac:dyDescent="0.25">
      <c r="D131" s="120"/>
      <c r="E131" s="120"/>
      <c r="F131" s="120"/>
      <c r="G131" s="120"/>
      <c r="H131" s="120"/>
      <c r="I131" s="12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86"/>
  <sheetViews>
    <sheetView topLeftCell="B1" workbookViewId="0">
      <selection activeCell="G39" sqref="G39"/>
    </sheetView>
  </sheetViews>
  <sheetFormatPr defaultColWidth="8.85546875" defaultRowHeight="15" x14ac:dyDescent="0.25"/>
  <cols>
    <col min="1" max="1" width="9.140625" style="142" hidden="1" customWidth="1"/>
    <col min="2" max="2" width="9.28515625" style="135" customWidth="1"/>
    <col min="3" max="3" width="20.42578125" style="111" customWidth="1"/>
    <col min="4" max="4" width="21.7109375" style="111" customWidth="1"/>
    <col min="5" max="5" width="16.7109375" style="136" customWidth="1"/>
    <col min="6" max="6" width="8" style="43" customWidth="1"/>
    <col min="7" max="7" width="27.28515625" style="5" customWidth="1"/>
    <col min="8" max="8" width="8.85546875" style="64" customWidth="1"/>
    <col min="9" max="9" width="15.140625" style="253" customWidth="1"/>
    <col min="10" max="10" width="12" style="254" customWidth="1"/>
    <col min="11" max="11" width="14.42578125" style="255" customWidth="1"/>
    <col min="12" max="12" width="11.42578125" style="124" customWidth="1"/>
    <col min="13" max="13" width="15.85546875" style="124" customWidth="1"/>
    <col min="14" max="14" width="16.7109375" style="121" bestFit="1" customWidth="1"/>
    <col min="15" max="15" width="22.42578125" style="121" bestFit="1" customWidth="1"/>
    <col min="16" max="16" width="13" style="121" customWidth="1"/>
    <col min="17" max="17" width="16.42578125" style="121" bestFit="1" customWidth="1"/>
    <col min="18" max="26" width="16.42578125" style="121" customWidth="1"/>
    <col min="27" max="29" width="16.42578125" style="121" hidden="1" customWidth="1"/>
    <col min="30" max="30" width="20.140625" style="121" hidden="1" customWidth="1"/>
    <col min="31" max="31" width="15.7109375" style="121" bestFit="1" customWidth="1"/>
    <col min="32" max="33" width="16" style="121" hidden="1" customWidth="1"/>
    <col min="34" max="34" width="15.85546875" style="121" hidden="1" customWidth="1"/>
    <col min="35" max="39" width="16.140625" style="121" hidden="1" customWidth="1"/>
    <col min="40" max="41" width="19" style="121" bestFit="1" customWidth="1"/>
    <col min="42" max="42" width="22.28515625" style="121" customWidth="1"/>
    <col min="43" max="43" width="28.42578125" style="121" bestFit="1" customWidth="1"/>
    <col min="44" max="44" width="14.140625" style="121" customWidth="1"/>
    <col min="45" max="48" width="9" style="121" customWidth="1"/>
    <col min="49" max="49" width="15.42578125" style="32" bestFit="1" customWidth="1"/>
    <col min="50" max="50" width="16.140625" style="32" bestFit="1" customWidth="1"/>
    <col min="51" max="51" width="16.140625" style="32" customWidth="1"/>
    <col min="52" max="52" width="8.85546875" style="5" customWidth="1"/>
    <col min="53" max="53" width="14.42578125" style="5" customWidth="1"/>
    <col min="54" max="58" width="8.85546875" style="5" customWidth="1"/>
    <col min="59" max="16384" width="8.85546875" style="142"/>
  </cols>
  <sheetData>
    <row r="1" spans="1:58" s="237" customFormat="1" ht="15.75" customHeight="1" x14ac:dyDescent="0.25">
      <c r="B1" s="238"/>
      <c r="D1" s="135" t="s">
        <v>69</v>
      </c>
      <c r="E1" s="239" t="s">
        <v>70</v>
      </c>
      <c r="F1" s="189"/>
      <c r="G1" s="13"/>
      <c r="H1" s="62"/>
      <c r="I1" s="240" t="s">
        <v>71</v>
      </c>
      <c r="J1" s="241"/>
      <c r="K1" s="242"/>
      <c r="L1" s="243" t="s">
        <v>31</v>
      </c>
      <c r="M1" s="243" t="s">
        <v>60</v>
      </c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7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79"/>
      <c r="AR1" s="299"/>
      <c r="AS1" s="299"/>
      <c r="AT1" s="299"/>
      <c r="AU1" s="299"/>
      <c r="AV1" s="299"/>
      <c r="AW1" s="56"/>
      <c r="AX1" s="56"/>
      <c r="AY1" s="56"/>
      <c r="AZ1" s="243"/>
      <c r="BA1" s="46"/>
      <c r="BB1" s="47"/>
      <c r="BC1" s="47"/>
      <c r="BD1" s="47"/>
      <c r="BE1" s="47"/>
      <c r="BF1" s="47"/>
    </row>
    <row r="2" spans="1:58" s="237" customFormat="1" ht="18" x14ac:dyDescent="0.35">
      <c r="B2" s="135" t="s">
        <v>63</v>
      </c>
      <c r="C2" s="135" t="s">
        <v>64</v>
      </c>
      <c r="D2" s="135" t="s">
        <v>65</v>
      </c>
      <c r="E2" s="239" t="s">
        <v>66</v>
      </c>
      <c r="F2" s="189" t="s">
        <v>67</v>
      </c>
      <c r="G2" s="13" t="s">
        <v>266</v>
      </c>
      <c r="H2" s="62"/>
      <c r="I2" s="244" t="s">
        <v>68</v>
      </c>
      <c r="J2" s="245" t="s">
        <v>101</v>
      </c>
      <c r="K2" s="242" t="s">
        <v>35</v>
      </c>
      <c r="L2" s="246" t="s">
        <v>36</v>
      </c>
      <c r="M2" s="246" t="s">
        <v>37</v>
      </c>
      <c r="N2" s="138" t="s">
        <v>267</v>
      </c>
      <c r="O2" s="237" t="s">
        <v>130</v>
      </c>
      <c r="P2" s="237" t="s">
        <v>131</v>
      </c>
      <c r="Q2" s="79" t="s">
        <v>38</v>
      </c>
      <c r="R2" s="79" t="s">
        <v>39</v>
      </c>
      <c r="S2" s="79" t="s">
        <v>40</v>
      </c>
      <c r="T2" s="79" t="s">
        <v>41</v>
      </c>
      <c r="U2" s="79" t="s">
        <v>1</v>
      </c>
      <c r="V2" s="79" t="s">
        <v>2</v>
      </c>
      <c r="W2" s="79" t="s">
        <v>114</v>
      </c>
      <c r="X2" s="79" t="s">
        <v>97</v>
      </c>
      <c r="Y2" s="79" t="s">
        <v>98</v>
      </c>
      <c r="Z2" s="79" t="s">
        <v>42</v>
      </c>
      <c r="AA2" s="79" t="s">
        <v>72</v>
      </c>
      <c r="AB2" s="79" t="s">
        <v>112</v>
      </c>
      <c r="AC2" s="56" t="s">
        <v>33</v>
      </c>
      <c r="AD2" s="56" t="s">
        <v>34</v>
      </c>
      <c r="AE2" s="56" t="s">
        <v>113</v>
      </c>
      <c r="AF2" s="46" t="s">
        <v>6</v>
      </c>
      <c r="AG2" s="47" t="s">
        <v>7</v>
      </c>
      <c r="AH2" s="47" t="s">
        <v>8</v>
      </c>
      <c r="AI2" s="47" t="s">
        <v>9</v>
      </c>
      <c r="AJ2" s="47" t="s">
        <v>10</v>
      </c>
      <c r="AK2" s="47" t="s">
        <v>11</v>
      </c>
      <c r="AL2" s="47" t="s">
        <v>12</v>
      </c>
      <c r="AM2" s="47" t="s">
        <v>13</v>
      </c>
      <c r="AN2" s="50" t="s">
        <v>14</v>
      </c>
      <c r="AO2" s="52" t="s">
        <v>15</v>
      </c>
      <c r="AP2" s="52" t="s">
        <v>16</v>
      </c>
      <c r="AQ2" s="18"/>
      <c r="AR2" s="247" t="s">
        <v>95</v>
      </c>
      <c r="AS2" s="137" t="s">
        <v>38</v>
      </c>
      <c r="AT2" s="137" t="s">
        <v>39</v>
      </c>
      <c r="AU2" s="137" t="s">
        <v>40</v>
      </c>
      <c r="AV2" s="137" t="s">
        <v>41</v>
      </c>
      <c r="AW2" s="79" t="s">
        <v>97</v>
      </c>
      <c r="AX2" s="243" t="s">
        <v>98</v>
      </c>
      <c r="AY2" s="79" t="s">
        <v>42</v>
      </c>
      <c r="AZ2" s="243" t="s">
        <v>72</v>
      </c>
      <c r="BA2" s="243" t="s">
        <v>23</v>
      </c>
      <c r="BB2" s="189" t="s">
        <v>68</v>
      </c>
      <c r="BC2" s="13"/>
      <c r="BD2" s="189" t="s">
        <v>96</v>
      </c>
      <c r="BE2" s="248" t="s">
        <v>96</v>
      </c>
      <c r="BF2" s="249" t="s">
        <v>80</v>
      </c>
    </row>
    <row r="3" spans="1:58" s="237" customFormat="1" ht="17.25" x14ac:dyDescent="0.25">
      <c r="B3" s="135" t="s">
        <v>73</v>
      </c>
      <c r="C3" s="135" t="s">
        <v>74</v>
      </c>
      <c r="D3" s="135"/>
      <c r="E3" s="239" t="s">
        <v>75</v>
      </c>
      <c r="F3" s="189" t="s">
        <v>76</v>
      </c>
      <c r="G3" s="13"/>
      <c r="H3" s="62" t="s">
        <v>77</v>
      </c>
      <c r="I3" s="240" t="s">
        <v>123</v>
      </c>
      <c r="J3" s="241" t="s">
        <v>102</v>
      </c>
      <c r="K3" s="250" t="s">
        <v>52</v>
      </c>
      <c r="L3" s="251" t="s">
        <v>53</v>
      </c>
      <c r="M3" s="251" t="s">
        <v>53</v>
      </c>
      <c r="N3" s="139" t="s">
        <v>30</v>
      </c>
      <c r="O3" s="121"/>
      <c r="P3" s="121"/>
      <c r="Q3" s="94" t="s">
        <v>54</v>
      </c>
      <c r="R3" s="94" t="s">
        <v>54</v>
      </c>
      <c r="S3" s="94" t="s">
        <v>54</v>
      </c>
      <c r="T3" s="94" t="s">
        <v>54</v>
      </c>
      <c r="U3" s="94" t="s">
        <v>79</v>
      </c>
      <c r="V3" s="94" t="s">
        <v>79</v>
      </c>
      <c r="W3" s="94" t="s">
        <v>79</v>
      </c>
      <c r="X3" s="94" t="s">
        <v>99</v>
      </c>
      <c r="Y3" s="94" t="s">
        <v>100</v>
      </c>
      <c r="Z3" s="94" t="s">
        <v>54</v>
      </c>
      <c r="AA3" s="94" t="s">
        <v>54</v>
      </c>
      <c r="AB3" s="94" t="s">
        <v>54</v>
      </c>
      <c r="AC3" s="56" t="s">
        <v>59</v>
      </c>
      <c r="AD3" s="56" t="s">
        <v>59</v>
      </c>
      <c r="AE3" s="56" t="s">
        <v>59</v>
      </c>
      <c r="AF3" s="46"/>
      <c r="AG3" s="47"/>
      <c r="AH3" s="47"/>
      <c r="AI3" s="47" t="s">
        <v>17</v>
      </c>
      <c r="AJ3" s="47"/>
      <c r="AK3" s="47" t="s">
        <v>18</v>
      </c>
      <c r="AL3" s="47"/>
      <c r="AM3" s="47" t="s">
        <v>18</v>
      </c>
      <c r="AN3" s="50" t="s">
        <v>19</v>
      </c>
      <c r="AO3" s="53" t="s">
        <v>19</v>
      </c>
      <c r="AP3" s="53" t="s">
        <v>19</v>
      </c>
      <c r="AQ3" s="31"/>
      <c r="AR3" s="13" t="s">
        <v>78</v>
      </c>
      <c r="AS3" s="13" t="s">
        <v>78</v>
      </c>
      <c r="AT3" s="13" t="s">
        <v>78</v>
      </c>
      <c r="AU3" s="13" t="s">
        <v>78</v>
      </c>
      <c r="AV3" s="13" t="s">
        <v>78</v>
      </c>
      <c r="AW3" s="13" t="s">
        <v>78</v>
      </c>
      <c r="AX3" s="13" t="s">
        <v>78</v>
      </c>
      <c r="AY3" s="13" t="s">
        <v>78</v>
      </c>
      <c r="AZ3" s="13" t="s">
        <v>78</v>
      </c>
      <c r="BA3" s="13" t="s">
        <v>78</v>
      </c>
      <c r="BB3" s="189" t="s">
        <v>78</v>
      </c>
      <c r="BC3" s="13"/>
      <c r="BD3" s="189" t="s">
        <v>78</v>
      </c>
      <c r="BE3" s="248" t="s">
        <v>55</v>
      </c>
      <c r="BF3" s="252" t="s">
        <v>58</v>
      </c>
    </row>
    <row r="4" spans="1:58" s="257" customFormat="1" ht="12.75" customHeight="1" x14ac:dyDescent="0.2">
      <c r="B4" s="46">
        <v>3</v>
      </c>
      <c r="C4" s="205" t="s">
        <v>103</v>
      </c>
      <c r="D4" s="205" t="s">
        <v>0</v>
      </c>
      <c r="E4" s="258" t="s">
        <v>273</v>
      </c>
      <c r="F4" s="206">
        <v>1000</v>
      </c>
      <c r="G4" s="259"/>
      <c r="H4" s="260">
        <v>7.53</v>
      </c>
      <c r="I4" s="261">
        <v>142.38948626045399</v>
      </c>
      <c r="J4" s="262">
        <v>91.9</v>
      </c>
      <c r="K4" s="263">
        <v>21.1</v>
      </c>
      <c r="L4" s="214">
        <v>0.23100000000000001</v>
      </c>
      <c r="M4" s="214">
        <v>0.06</v>
      </c>
      <c r="N4" s="264">
        <v>4.6470000000000002</v>
      </c>
      <c r="O4" s="265">
        <f t="shared" ref="O4:O36" si="0">L4/N4</f>
        <v>4.9709489993544222E-2</v>
      </c>
      <c r="P4" s="265">
        <f t="shared" ref="P4:P36" si="1">L4/M4</f>
        <v>3.8500000000000005</v>
      </c>
      <c r="Q4" s="266">
        <v>9.3007893408476328</v>
      </c>
      <c r="R4" s="266">
        <v>1.8350339762777772</v>
      </c>
      <c r="S4" s="266">
        <v>12.312395482003362</v>
      </c>
      <c r="T4" s="266">
        <v>1.2256838518982534</v>
      </c>
      <c r="U4" s="265">
        <v>42.556338028169016</v>
      </c>
      <c r="V4" s="267">
        <v>18.229026770525561</v>
      </c>
      <c r="W4" s="265">
        <v>0.4341257417452401</v>
      </c>
      <c r="X4" s="267">
        <v>6.7702870251819514</v>
      </c>
      <c r="Y4" s="267">
        <v>1.2459988572831171</v>
      </c>
      <c r="Z4" s="207">
        <v>16.536657463256624</v>
      </c>
      <c r="AA4" s="268">
        <v>8.7030625812438964E-2</v>
      </c>
      <c r="AB4" s="268">
        <v>7.0000000000000007E-2</v>
      </c>
      <c r="AC4" s="269">
        <v>38.619999999999997</v>
      </c>
      <c r="AD4" s="269">
        <v>19.021676101063093</v>
      </c>
      <c r="AE4" s="270">
        <f>AC4-AD4</f>
        <v>19.598323898936904</v>
      </c>
      <c r="AF4" s="208">
        <v>3.42</v>
      </c>
      <c r="AG4" s="271">
        <f t="shared" ref="AG4:AG36" si="2">10^-AF4</f>
        <v>3.8018939632056113E-4</v>
      </c>
      <c r="AH4" s="271">
        <v>3.1622776601683798E-2</v>
      </c>
      <c r="AI4" s="271">
        <f t="shared" ref="AI4:AI36" si="3">+AG4*AH4</f>
        <v>1.2022644346174128E-5</v>
      </c>
      <c r="AJ4" s="271">
        <v>5.0118723362727197E-7</v>
      </c>
      <c r="AK4" s="271">
        <f t="shared" ref="AK4:AK36" si="4">+((AJ4/(10^(-H4)))*AI4)*1000000</f>
        <v>204.1737944669533</v>
      </c>
      <c r="AL4" s="271">
        <v>5.6234132519034893E-11</v>
      </c>
      <c r="AM4" s="271">
        <f t="shared" ref="AM4:AM36" si="5">+(((AJ4*AL4)/(10^(-H4)))*AI4)*1000000</f>
        <v>1.1481536214968847E-8</v>
      </c>
      <c r="AN4" s="272">
        <f t="shared" ref="AN4:AN36" si="6">+AK4+2*AM4</f>
        <v>204.17379448991636</v>
      </c>
      <c r="AO4" s="209">
        <f t="shared" ref="AO4:AO36" si="7">+(5.5*(N4))*(10^-(0.96+0.9*H4-0.039*((H4)^2)))/((10^-(0.96+0.9*H4-0.039*((H4)^2)))+(10^-H4))</f>
        <v>25.30793431239659</v>
      </c>
      <c r="AP4" s="209">
        <f t="shared" ref="AP4:AP36" si="8">+(5.5*(N4))*(10^-(0.96+0.9*4.5-0.039*((4.5)^2)))/((10^-(0.96+0.9*4.5-0.039*((4.5)^2)))+(10^-4.5))</f>
        <v>16.758467162440613</v>
      </c>
      <c r="AQ4" s="273"/>
      <c r="AR4" s="274">
        <f t="shared" ref="AR4:AR36" si="9">(10^-H4)*1000000</f>
        <v>2.9512092266663778E-2</v>
      </c>
      <c r="AS4" s="275">
        <f t="shared" ref="AS4:AS36" si="10">(Q4/40.078*1000)*2</f>
        <v>464.1344049527238</v>
      </c>
      <c r="AT4" s="275">
        <f t="shared" ref="AT4:AT36" si="11">(R4/24.312*1000)*2</f>
        <v>150.9570562913604</v>
      </c>
      <c r="AU4" s="275">
        <f t="shared" ref="AU4:AU36" si="12">(S4/22.99*1000)</f>
        <v>535.55439243163823</v>
      </c>
      <c r="AV4" s="276">
        <f t="shared" ref="AV4:AV36" si="13">(T4/39.102*1000)</f>
        <v>31.34580972580056</v>
      </c>
      <c r="AW4" s="275">
        <f t="shared" ref="AW4:AW36" si="14">(X4/96.064*1000)*2</f>
        <v>140.95367723979746</v>
      </c>
      <c r="AX4" s="276">
        <f t="shared" ref="AX4:AX36" si="15">(Y4/62.0067*1000)</f>
        <v>20.094584251107008</v>
      </c>
      <c r="AY4" s="275">
        <f t="shared" ref="AY4:AY36" si="16">(Z4/35.453*1000)</f>
        <v>466.43887578643898</v>
      </c>
      <c r="AZ4" s="274">
        <f t="shared" ref="AZ4:AZ36" si="17">(AA4/18.998)*1000</f>
        <v>4.5810414681776477</v>
      </c>
      <c r="BA4" s="274">
        <f t="shared" ref="BA4:BA36" si="18">+AD4/30.97*3</f>
        <v>1.8425905167319754</v>
      </c>
      <c r="BB4" s="275">
        <f t="shared" ref="BB4:BB36" si="19">IF(H4&lt;5.5,0,I4-31.62+AR4)</f>
        <v>110.79899835272064</v>
      </c>
      <c r="BC4" s="277"/>
      <c r="BD4" s="275">
        <f t="shared" ref="BD4:BD36" si="20">SUM(AR4:AV4)-SUM(AW4:BB4)</f>
        <v>437.311407878816</v>
      </c>
      <c r="BE4" s="210">
        <f t="shared" ref="BE4:BE36" si="21">BD4/SUM(AR4:BB4)*100</f>
        <v>22.697066730719438</v>
      </c>
      <c r="BF4" s="278">
        <f t="shared" ref="BF4:BF36" si="22">0.5*(SUM(AR4:AV4)+SUM(AW4:AZ4))*0.000001</f>
        <v>9.0704467711965546E-4</v>
      </c>
    </row>
    <row r="5" spans="1:58" s="257" customFormat="1" ht="12.75" x14ac:dyDescent="0.2">
      <c r="B5" s="46">
        <v>8</v>
      </c>
      <c r="C5" s="205" t="s">
        <v>103</v>
      </c>
      <c r="D5" s="205" t="s">
        <v>0</v>
      </c>
      <c r="E5" s="258" t="s">
        <v>287</v>
      </c>
      <c r="F5" s="206">
        <v>2000</v>
      </c>
      <c r="G5" s="214">
        <v>0.28571428571429391</v>
      </c>
      <c r="H5" s="260">
        <v>6.78</v>
      </c>
      <c r="I5" s="261">
        <v>261.03629854471654</v>
      </c>
      <c r="J5" s="262">
        <v>51.7</v>
      </c>
      <c r="K5" s="263">
        <v>22.2</v>
      </c>
      <c r="L5" s="279">
        <v>0.11799999999999999</v>
      </c>
      <c r="M5" s="214">
        <v>1.4E-2</v>
      </c>
      <c r="N5" s="265">
        <v>2.2410000000000001</v>
      </c>
      <c r="O5" s="265">
        <f t="shared" si="0"/>
        <v>5.2655064703257468E-2</v>
      </c>
      <c r="P5" s="265">
        <f t="shared" si="1"/>
        <v>8.4285714285714288</v>
      </c>
      <c r="Q5" s="265">
        <v>4.5287100000000002</v>
      </c>
      <c r="R5" s="214">
        <v>0.76590800000000003</v>
      </c>
      <c r="S5" s="265">
        <v>3.6961400000000002</v>
      </c>
      <c r="T5" s="211">
        <v>0</v>
      </c>
      <c r="U5" s="215">
        <v>0</v>
      </c>
      <c r="V5" s="211">
        <v>0</v>
      </c>
      <c r="W5" s="211">
        <v>0</v>
      </c>
      <c r="X5" s="213">
        <v>4.5762153433329855</v>
      </c>
      <c r="Y5" s="213">
        <v>0.65000473225139788</v>
      </c>
      <c r="Z5" s="213">
        <v>7.7247793267257343</v>
      </c>
      <c r="AA5" s="213">
        <v>9.9447393950438001E-2</v>
      </c>
      <c r="AB5" s="213">
        <v>0.4116527681209487</v>
      </c>
      <c r="AC5" s="257">
        <v>42</v>
      </c>
      <c r="AD5" s="257">
        <v>37</v>
      </c>
      <c r="AE5" s="257">
        <v>3</v>
      </c>
      <c r="AF5" s="208">
        <v>3.42</v>
      </c>
      <c r="AG5" s="271">
        <f t="shared" si="2"/>
        <v>3.8018939632056113E-4</v>
      </c>
      <c r="AH5" s="271">
        <v>3.1622776601683798E-2</v>
      </c>
      <c r="AI5" s="271">
        <f t="shared" si="3"/>
        <v>1.2022644346174128E-5</v>
      </c>
      <c r="AJ5" s="271">
        <v>5.0118723362727197E-7</v>
      </c>
      <c r="AK5" s="271">
        <f t="shared" si="4"/>
        <v>36.307805477010206</v>
      </c>
      <c r="AL5" s="271">
        <v>5.6234132519034893E-11</v>
      </c>
      <c r="AM5" s="271">
        <f t="shared" si="5"/>
        <v>2.0417379446695329E-9</v>
      </c>
      <c r="AN5" s="272">
        <f t="shared" si="6"/>
        <v>36.307805481093681</v>
      </c>
      <c r="AO5" s="209">
        <f t="shared" si="7"/>
        <v>11.956656484975232</v>
      </c>
      <c r="AP5" s="209">
        <f t="shared" si="8"/>
        <v>8.0817139898922772</v>
      </c>
      <c r="AQ5" s="273"/>
      <c r="AR5" s="274">
        <f t="shared" si="9"/>
        <v>0.1659586907437556</v>
      </c>
      <c r="AS5" s="275">
        <f t="shared" si="10"/>
        <v>225.99481012026547</v>
      </c>
      <c r="AT5" s="275">
        <f t="shared" si="11"/>
        <v>63.006581112207954</v>
      </c>
      <c r="AU5" s="275">
        <f t="shared" si="12"/>
        <v>160.77163984341018</v>
      </c>
      <c r="AV5" s="276">
        <f t="shared" si="13"/>
        <v>0</v>
      </c>
      <c r="AW5" s="275">
        <f t="shared" si="14"/>
        <v>95.274303450470228</v>
      </c>
      <c r="AX5" s="276">
        <f t="shared" si="15"/>
        <v>10.48281447410357</v>
      </c>
      <c r="AY5" s="275">
        <f t="shared" si="16"/>
        <v>217.88788894383362</v>
      </c>
      <c r="AZ5" s="274">
        <f t="shared" si="17"/>
        <v>5.2346243789050417</v>
      </c>
      <c r="BA5" s="274">
        <f t="shared" si="18"/>
        <v>3.5841136583790769</v>
      </c>
      <c r="BB5" s="275">
        <f t="shared" si="19"/>
        <v>229.5822572354603</v>
      </c>
      <c r="BC5" s="277"/>
      <c r="BD5" s="275">
        <f t="shared" si="20"/>
        <v>-112.1070123745244</v>
      </c>
      <c r="BE5" s="210">
        <f t="shared" si="21"/>
        <v>-11.077932308381563</v>
      </c>
      <c r="BF5" s="278">
        <f t="shared" si="22"/>
        <v>3.8940931050696997E-4</v>
      </c>
    </row>
    <row r="6" spans="1:58" s="257" customFormat="1" ht="15.75" customHeight="1" x14ac:dyDescent="0.2">
      <c r="B6" s="46">
        <v>6</v>
      </c>
      <c r="C6" s="205" t="s">
        <v>103</v>
      </c>
      <c r="D6" s="205" t="s">
        <v>0</v>
      </c>
      <c r="E6" s="280">
        <v>42297.5</v>
      </c>
      <c r="F6" s="206">
        <v>1000</v>
      </c>
      <c r="G6" s="205">
        <v>0</v>
      </c>
      <c r="H6" s="205">
        <v>7.02</v>
      </c>
      <c r="I6" s="205">
        <v>240</v>
      </c>
      <c r="J6" s="205">
        <v>45.2</v>
      </c>
      <c r="K6" s="259">
        <v>20.100000000000001</v>
      </c>
      <c r="L6" s="205">
        <v>0.189</v>
      </c>
      <c r="M6" s="205">
        <v>1.9E-2</v>
      </c>
      <c r="N6" s="281">
        <v>5.6130000000000004</v>
      </c>
      <c r="O6" s="265">
        <f t="shared" si="0"/>
        <v>3.3671833244254407E-2</v>
      </c>
      <c r="P6" s="265">
        <f t="shared" si="1"/>
        <v>9.9473684210526319</v>
      </c>
      <c r="Q6" s="257">
        <v>4.0990000000000002</v>
      </c>
      <c r="R6" s="257">
        <v>0.79490000000000005</v>
      </c>
      <c r="S6" s="257">
        <v>2.9430000000000001</v>
      </c>
      <c r="T6" s="265">
        <v>0.58830000000000005</v>
      </c>
      <c r="U6" s="265">
        <v>3.0800593031875461</v>
      </c>
      <c r="V6" s="217">
        <v>1.0243553008595989</v>
      </c>
      <c r="W6" s="265">
        <v>0.24043715846994534</v>
      </c>
      <c r="X6" s="213">
        <v>3.3664918691879295</v>
      </c>
      <c r="Y6" s="213">
        <v>0.56276191790689167</v>
      </c>
      <c r="Z6" s="213">
        <v>4.3779087201522646</v>
      </c>
      <c r="AA6" s="213"/>
      <c r="AB6" s="213"/>
      <c r="AC6" s="205">
        <v>22</v>
      </c>
      <c r="AD6" s="205">
        <v>14</v>
      </c>
      <c r="AE6" s="205">
        <v>2</v>
      </c>
      <c r="AF6" s="208">
        <v>3.42</v>
      </c>
      <c r="AG6" s="271">
        <f t="shared" si="2"/>
        <v>3.8018939632056113E-4</v>
      </c>
      <c r="AH6" s="271">
        <v>3.1622776601683798E-2</v>
      </c>
      <c r="AI6" s="271">
        <f t="shared" si="3"/>
        <v>1.2022644346174128E-5</v>
      </c>
      <c r="AJ6" s="271">
        <v>5.0118723362727197E-7</v>
      </c>
      <c r="AK6" s="271">
        <f t="shared" si="4"/>
        <v>63.095734448019307</v>
      </c>
      <c r="AL6" s="271">
        <v>5.6234132519034893E-11</v>
      </c>
      <c r="AM6" s="271">
        <f t="shared" si="5"/>
        <v>3.5481338923357525E-9</v>
      </c>
      <c r="AN6" s="272">
        <f t="shared" si="6"/>
        <v>63.095734455115576</v>
      </c>
      <c r="AO6" s="209">
        <f t="shared" si="7"/>
        <v>30.216400706392562</v>
      </c>
      <c r="AP6" s="209">
        <f t="shared" si="8"/>
        <v>20.242151104536077</v>
      </c>
      <c r="AQ6" s="273"/>
      <c r="AR6" s="274">
        <f t="shared" si="9"/>
        <v>9.5499258602143561E-2</v>
      </c>
      <c r="AS6" s="275">
        <f t="shared" si="10"/>
        <v>204.55112530565398</v>
      </c>
      <c r="AT6" s="275">
        <f t="shared" si="11"/>
        <v>65.391576176373817</v>
      </c>
      <c r="AU6" s="275">
        <f t="shared" si="12"/>
        <v>128.01217920835148</v>
      </c>
      <c r="AV6" s="276">
        <f t="shared" si="13"/>
        <v>15.045266226791471</v>
      </c>
      <c r="AW6" s="275">
        <f t="shared" si="14"/>
        <v>70.088521593686067</v>
      </c>
      <c r="AX6" s="276">
        <f t="shared" si="15"/>
        <v>9.0758243529633358</v>
      </c>
      <c r="AY6" s="275">
        <f t="shared" si="16"/>
        <v>123.48485939560162</v>
      </c>
      <c r="AZ6" s="274">
        <f t="shared" si="17"/>
        <v>0</v>
      </c>
      <c r="BA6" s="274">
        <f t="shared" si="18"/>
        <v>1.3561511139812723</v>
      </c>
      <c r="BB6" s="275">
        <f t="shared" si="19"/>
        <v>208.47549925860213</v>
      </c>
      <c r="BC6" s="277"/>
      <c r="BD6" s="275">
        <f t="shared" si="20"/>
        <v>0.61479046093842271</v>
      </c>
      <c r="BE6" s="210">
        <f t="shared" si="21"/>
        <v>7.4468018352087911E-2</v>
      </c>
      <c r="BF6" s="278">
        <f t="shared" si="22"/>
        <v>3.0787242575901192E-4</v>
      </c>
    </row>
    <row r="7" spans="1:58" s="257" customFormat="1" ht="12.75" x14ac:dyDescent="0.2">
      <c r="A7" s="46">
        <v>1</v>
      </c>
      <c r="B7" s="46">
        <v>1</v>
      </c>
      <c r="C7" s="205" t="s">
        <v>268</v>
      </c>
      <c r="D7" s="205" t="s">
        <v>22</v>
      </c>
      <c r="E7" s="282" t="s">
        <v>269</v>
      </c>
      <c r="F7" s="206">
        <v>1000</v>
      </c>
      <c r="G7" s="205"/>
      <c r="H7" s="283">
        <v>6.83</v>
      </c>
      <c r="I7" s="284">
        <v>241.77287581699343</v>
      </c>
      <c r="J7" s="285">
        <v>35.5</v>
      </c>
      <c r="K7" s="263">
        <v>20.9</v>
      </c>
      <c r="L7" s="214">
        <v>0.29099999999999998</v>
      </c>
      <c r="M7" s="214">
        <v>3.6999999999999998E-2</v>
      </c>
      <c r="N7" s="264">
        <v>6.6559999999999997</v>
      </c>
      <c r="O7" s="265">
        <f t="shared" si="0"/>
        <v>4.371995192307692E-2</v>
      </c>
      <c r="P7" s="265">
        <f t="shared" si="1"/>
        <v>7.8648648648648649</v>
      </c>
      <c r="Q7" s="266">
        <v>6.0684677144444858</v>
      </c>
      <c r="R7" s="266">
        <v>0.54896043614077494</v>
      </c>
      <c r="S7" s="266">
        <v>1.6428362443451692</v>
      </c>
      <c r="T7" s="266">
        <v>0.47437609140344811</v>
      </c>
      <c r="U7" s="265">
        <v>8.7913269088213486</v>
      </c>
      <c r="V7" s="267">
        <v>5.8655206374787356</v>
      </c>
      <c r="W7" s="265">
        <v>0.67494266263788261</v>
      </c>
      <c r="X7" s="267">
        <v>2.9803990078934457</v>
      </c>
      <c r="Y7" s="267">
        <v>1.3208637758539172</v>
      </c>
      <c r="Z7" s="207">
        <v>2.6265348409241498</v>
      </c>
      <c r="AA7" s="268">
        <v>7.8331696803065107E-2</v>
      </c>
      <c r="AB7" s="268"/>
      <c r="AC7" s="273">
        <v>4.58</v>
      </c>
      <c r="AD7" s="273">
        <v>0.6516636752726761</v>
      </c>
      <c r="AE7" s="270">
        <f>AC7-AD7</f>
        <v>3.928336324727324</v>
      </c>
      <c r="AF7" s="208">
        <v>3.42</v>
      </c>
      <c r="AG7" s="271">
        <f t="shared" si="2"/>
        <v>3.8018939632056113E-4</v>
      </c>
      <c r="AH7" s="271">
        <v>3.1622776601683798E-2</v>
      </c>
      <c r="AI7" s="271">
        <f t="shared" si="3"/>
        <v>1.2022644346174128E-5</v>
      </c>
      <c r="AJ7" s="271">
        <v>5.0118723362727197E-7</v>
      </c>
      <c r="AK7" s="271">
        <f t="shared" si="4"/>
        <v>40.738027780411343</v>
      </c>
      <c r="AL7" s="271">
        <v>5.6234132519034893E-11</v>
      </c>
      <c r="AM7" s="271">
        <f t="shared" si="5"/>
        <v>2.2908676527677762E-9</v>
      </c>
      <c r="AN7" s="286">
        <f t="shared" si="6"/>
        <v>40.738027784993079</v>
      </c>
      <c r="AO7" s="209">
        <f t="shared" si="7"/>
        <v>35.587094755821454</v>
      </c>
      <c r="AP7" s="209">
        <f t="shared" si="8"/>
        <v>24.003519998537701</v>
      </c>
      <c r="AQ7" s="273"/>
      <c r="AR7" s="274">
        <f t="shared" si="9"/>
        <v>0.14791083881682041</v>
      </c>
      <c r="AS7" s="275">
        <f t="shared" si="10"/>
        <v>302.83286164202235</v>
      </c>
      <c r="AT7" s="276">
        <f t="shared" si="11"/>
        <v>45.159627849685336</v>
      </c>
      <c r="AU7" s="276">
        <f t="shared" si="12"/>
        <v>71.458731811447109</v>
      </c>
      <c r="AV7" s="276">
        <f t="shared" si="13"/>
        <v>12.13176030390896</v>
      </c>
      <c r="AW7" s="276">
        <f t="shared" si="14"/>
        <v>62.050279145016773</v>
      </c>
      <c r="AX7" s="276">
        <f t="shared" si="15"/>
        <v>21.301952464071096</v>
      </c>
      <c r="AY7" s="276">
        <f t="shared" si="16"/>
        <v>74.084981268839016</v>
      </c>
      <c r="AZ7" s="274">
        <f t="shared" si="17"/>
        <v>4.1231549006771813</v>
      </c>
      <c r="BA7" s="274">
        <f t="shared" si="18"/>
        <v>6.3125315654440697E-2</v>
      </c>
      <c r="BB7" s="275">
        <f t="shared" si="19"/>
        <v>210.30078665581024</v>
      </c>
      <c r="BC7" s="277"/>
      <c r="BD7" s="275">
        <f t="shared" si="20"/>
        <v>59.806612695811793</v>
      </c>
      <c r="BE7" s="210">
        <f t="shared" si="21"/>
        <v>7.4418251465231151</v>
      </c>
      <c r="BF7" s="278">
        <f t="shared" si="22"/>
        <v>2.9664563011224228E-4</v>
      </c>
    </row>
    <row r="8" spans="1:58" s="257" customFormat="1" ht="12.75" x14ac:dyDescent="0.2">
      <c r="B8" s="46">
        <v>5</v>
      </c>
      <c r="C8" s="205" t="s">
        <v>105</v>
      </c>
      <c r="D8" s="205" t="s">
        <v>22</v>
      </c>
      <c r="E8" s="258" t="s">
        <v>275</v>
      </c>
      <c r="F8" s="206">
        <v>1000</v>
      </c>
      <c r="G8" s="259"/>
      <c r="H8" s="260">
        <v>7.45</v>
      </c>
      <c r="I8" s="261">
        <v>742.28915662650593</v>
      </c>
      <c r="J8" s="287">
        <v>198.8</v>
      </c>
      <c r="K8" s="263">
        <v>18.3</v>
      </c>
      <c r="L8" s="214">
        <v>0.38</v>
      </c>
      <c r="M8" s="214">
        <v>2.3E-2</v>
      </c>
      <c r="N8" s="264">
        <v>6.9669999999999996</v>
      </c>
      <c r="O8" s="265">
        <f t="shared" si="0"/>
        <v>5.4542844839959817E-2</v>
      </c>
      <c r="P8" s="265">
        <f t="shared" si="1"/>
        <v>16.521739130434781</v>
      </c>
      <c r="Q8" s="266">
        <v>23.281723673743723</v>
      </c>
      <c r="R8" s="266">
        <v>3.573648037549602</v>
      </c>
      <c r="S8" s="266">
        <v>19.613084174847604</v>
      </c>
      <c r="T8" s="266">
        <v>3.0335469301519034</v>
      </c>
      <c r="U8" s="265">
        <v>3.3947368421052633</v>
      </c>
      <c r="V8" s="267">
        <v>2.7800161160354553</v>
      </c>
      <c r="W8" s="265">
        <v>0.20459426990425569</v>
      </c>
      <c r="X8" s="267">
        <v>17.810515953086842</v>
      </c>
      <c r="Y8" s="267">
        <v>4.2459928587512525</v>
      </c>
      <c r="Z8" s="207">
        <v>31.254758924958139</v>
      </c>
      <c r="AA8" s="268">
        <v>0.15062531946865676</v>
      </c>
      <c r="AB8" s="268"/>
      <c r="AC8" s="288">
        <v>4.82</v>
      </c>
      <c r="AD8" s="288">
        <v>1.4278613834046656</v>
      </c>
      <c r="AE8" s="270">
        <f>AC8-AD8</f>
        <v>3.3921386165953349</v>
      </c>
      <c r="AF8" s="208">
        <v>3.42</v>
      </c>
      <c r="AG8" s="271">
        <f t="shared" si="2"/>
        <v>3.8018939632056113E-4</v>
      </c>
      <c r="AH8" s="271">
        <v>3.1622776601683798E-2</v>
      </c>
      <c r="AI8" s="271">
        <f t="shared" si="3"/>
        <v>1.2022644346174128E-5</v>
      </c>
      <c r="AJ8" s="271">
        <v>5.0118723362727197E-7</v>
      </c>
      <c r="AK8" s="271">
        <f t="shared" si="4"/>
        <v>169.82436524617489</v>
      </c>
      <c r="AL8" s="271">
        <v>5.6234132519034893E-11</v>
      </c>
      <c r="AM8" s="271">
        <f t="shared" si="5"/>
        <v>9.5499258602143817E-9</v>
      </c>
      <c r="AN8" s="272">
        <f t="shared" si="6"/>
        <v>169.82436526527474</v>
      </c>
      <c r="AO8" s="209">
        <f t="shared" si="7"/>
        <v>37.892939998085922</v>
      </c>
      <c r="AP8" s="209">
        <f t="shared" si="8"/>
        <v>25.125078700392457</v>
      </c>
      <c r="AQ8" s="273"/>
      <c r="AR8" s="274">
        <f t="shared" si="9"/>
        <v>3.5481338923357426E-2</v>
      </c>
      <c r="AS8" s="275">
        <f t="shared" si="10"/>
        <v>1161.8206334519548</v>
      </c>
      <c r="AT8" s="275">
        <f t="shared" si="11"/>
        <v>293.9822340860153</v>
      </c>
      <c r="AU8" s="275">
        <f t="shared" si="12"/>
        <v>853.1137092147718</v>
      </c>
      <c r="AV8" s="276">
        <f t="shared" si="13"/>
        <v>77.580352159784766</v>
      </c>
      <c r="AW8" s="275">
        <f t="shared" si="14"/>
        <v>370.80521221449959</v>
      </c>
      <c r="AX8" s="276">
        <f t="shared" si="15"/>
        <v>68.476355922041535</v>
      </c>
      <c r="AY8" s="275">
        <f t="shared" si="16"/>
        <v>881.5829104718398</v>
      </c>
      <c r="AZ8" s="274">
        <f t="shared" si="17"/>
        <v>7.9284829702419604</v>
      </c>
      <c r="BA8" s="274">
        <f t="shared" si="18"/>
        <v>0.13831398612250556</v>
      </c>
      <c r="BB8" s="275">
        <f t="shared" si="19"/>
        <v>710.70463796542924</v>
      </c>
      <c r="BC8" s="277"/>
      <c r="BD8" s="275">
        <f t="shared" si="20"/>
        <v>346.89649672127553</v>
      </c>
      <c r="BE8" s="210">
        <f t="shared" si="21"/>
        <v>7.8373995597369088</v>
      </c>
      <c r="BF8" s="278">
        <f t="shared" si="22"/>
        <v>1.8576626859150363E-3</v>
      </c>
    </row>
    <row r="9" spans="1:58" s="257" customFormat="1" ht="12.75" x14ac:dyDescent="0.2">
      <c r="B9" s="46">
        <v>6</v>
      </c>
      <c r="C9" s="205" t="s">
        <v>105</v>
      </c>
      <c r="D9" s="205" t="s">
        <v>22</v>
      </c>
      <c r="E9" s="258" t="s">
        <v>285</v>
      </c>
      <c r="F9" s="206">
        <v>2000</v>
      </c>
      <c r="G9" s="214">
        <v>1.6285714285713921</v>
      </c>
      <c r="H9" s="260">
        <v>7.52</v>
      </c>
      <c r="I9" s="261">
        <v>865.64042570167499</v>
      </c>
      <c r="J9" s="262">
        <v>198.3</v>
      </c>
      <c r="K9" s="263">
        <v>22.5</v>
      </c>
      <c r="L9" s="279">
        <v>0.192</v>
      </c>
      <c r="M9" s="214">
        <v>1.7000000000000001E-2</v>
      </c>
      <c r="N9" s="265">
        <v>4.7930000000000001</v>
      </c>
      <c r="O9" s="265">
        <f t="shared" si="0"/>
        <v>4.0058418527018566E-2</v>
      </c>
      <c r="P9" s="265">
        <f t="shared" si="1"/>
        <v>11.294117647058822</v>
      </c>
      <c r="Q9" s="265">
        <v>18.091999999999999</v>
      </c>
      <c r="R9" s="214">
        <v>2.8195100000000002</v>
      </c>
      <c r="S9" s="265">
        <v>18.245999999999999</v>
      </c>
      <c r="T9" s="265">
        <v>1.73377</v>
      </c>
      <c r="U9" s="215">
        <v>0</v>
      </c>
      <c r="V9" s="211">
        <v>0</v>
      </c>
      <c r="W9" s="211">
        <v>0</v>
      </c>
      <c r="X9" s="213">
        <f>1.96422459850086*10</f>
        <v>19.6422459850086</v>
      </c>
      <c r="Y9" s="213">
        <v>3.3724362312077112</v>
      </c>
      <c r="Z9" s="213">
        <v>33.5144841784292</v>
      </c>
      <c r="AA9" s="213">
        <v>0.17948809487821113</v>
      </c>
      <c r="AB9" s="213">
        <v>0.42962102958560905</v>
      </c>
      <c r="AC9" s="257">
        <v>43</v>
      </c>
      <c r="AD9" s="257">
        <v>33</v>
      </c>
      <c r="AE9" s="257">
        <v>4</v>
      </c>
      <c r="AF9" s="208">
        <v>3.42</v>
      </c>
      <c r="AG9" s="271">
        <f t="shared" si="2"/>
        <v>3.8018939632056113E-4</v>
      </c>
      <c r="AH9" s="271">
        <v>3.1622776601683798E-2</v>
      </c>
      <c r="AI9" s="271">
        <f t="shared" si="3"/>
        <v>1.2022644346174128E-5</v>
      </c>
      <c r="AJ9" s="271">
        <v>5.0118723362727197E-7</v>
      </c>
      <c r="AK9" s="271">
        <f t="shared" si="4"/>
        <v>199.52623149688765</v>
      </c>
      <c r="AL9" s="271">
        <v>5.6234132519034893E-11</v>
      </c>
      <c r="AM9" s="271">
        <f t="shared" si="5"/>
        <v>1.1220184543019612E-8</v>
      </c>
      <c r="AN9" s="272">
        <f t="shared" si="6"/>
        <v>199.52623151932801</v>
      </c>
      <c r="AO9" s="209">
        <f t="shared" si="7"/>
        <v>26.098982669698081</v>
      </c>
      <c r="AP9" s="209">
        <f t="shared" si="8"/>
        <v>17.284986681639303</v>
      </c>
      <c r="AQ9" s="273"/>
      <c r="AR9" s="274">
        <f t="shared" si="9"/>
        <v>3.0199517204020188E-2</v>
      </c>
      <c r="AS9" s="275">
        <f t="shared" si="10"/>
        <v>902.83946304705808</v>
      </c>
      <c r="AT9" s="275">
        <f t="shared" si="11"/>
        <v>231.94389601842713</v>
      </c>
      <c r="AU9" s="275">
        <f t="shared" si="12"/>
        <v>793.64941278816877</v>
      </c>
      <c r="AV9" s="276">
        <f t="shared" si="13"/>
        <v>44.33967571991203</v>
      </c>
      <c r="AW9" s="275">
        <f t="shared" si="14"/>
        <v>408.94083080047886</v>
      </c>
      <c r="AX9" s="276">
        <f t="shared" si="15"/>
        <v>54.388255320920337</v>
      </c>
      <c r="AY9" s="275">
        <f t="shared" si="16"/>
        <v>945.32152930440861</v>
      </c>
      <c r="AZ9" s="274">
        <f t="shared" si="17"/>
        <v>9.4477363342568239</v>
      </c>
      <c r="BA9" s="274">
        <f t="shared" si="18"/>
        <v>3.1966419115272844</v>
      </c>
      <c r="BB9" s="275">
        <f t="shared" si="19"/>
        <v>834.05062521887896</v>
      </c>
      <c r="BC9" s="277"/>
      <c r="BD9" s="275">
        <f t="shared" si="20"/>
        <v>-282.54297179970058</v>
      </c>
      <c r="BE9" s="210">
        <f t="shared" si="21"/>
        <v>-6.6824281937551646</v>
      </c>
      <c r="BF9" s="278">
        <f t="shared" si="22"/>
        <v>1.6954504994254173E-3</v>
      </c>
    </row>
    <row r="10" spans="1:58" s="257" customFormat="1" ht="15.75" customHeight="1" x14ac:dyDescent="0.2">
      <c r="B10" s="46">
        <v>8</v>
      </c>
      <c r="C10" s="205" t="s">
        <v>105</v>
      </c>
      <c r="D10" s="205" t="s">
        <v>22</v>
      </c>
      <c r="E10" s="280">
        <v>42299.5</v>
      </c>
      <c r="F10" s="206">
        <v>1000</v>
      </c>
      <c r="G10" s="205">
        <v>0.22</v>
      </c>
      <c r="H10" s="205">
        <v>7.27</v>
      </c>
      <c r="I10" s="205">
        <v>810</v>
      </c>
      <c r="J10" s="205">
        <v>200</v>
      </c>
      <c r="K10" s="259">
        <v>20.100000000000001</v>
      </c>
      <c r="L10" s="205">
        <v>0.30299999999999999</v>
      </c>
      <c r="M10" s="205">
        <v>3.1E-2</v>
      </c>
      <c r="N10" s="281">
        <v>8.9909999999999997</v>
      </c>
      <c r="O10" s="265">
        <f t="shared" si="0"/>
        <v>3.3700367033700371E-2</v>
      </c>
      <c r="P10" s="265">
        <f t="shared" si="1"/>
        <v>9.7741935483870961</v>
      </c>
      <c r="Q10" s="257">
        <v>16.308</v>
      </c>
      <c r="R10" s="265">
        <v>2.645</v>
      </c>
      <c r="S10" s="257">
        <v>12.977</v>
      </c>
      <c r="T10" s="265">
        <v>2.3690000000000002</v>
      </c>
      <c r="U10" s="265">
        <v>2.6130467012601928</v>
      </c>
      <c r="V10" s="217">
        <v>2.1292979942693409</v>
      </c>
      <c r="W10" s="265">
        <v>0.40437158469945356</v>
      </c>
      <c r="X10" s="213">
        <v>15.875791872889685</v>
      </c>
      <c r="Y10" s="213">
        <v>3.8433445696216002</v>
      </c>
      <c r="Z10" s="213">
        <v>23.736438656415679</v>
      </c>
      <c r="AA10" s="213"/>
      <c r="AB10" s="213"/>
      <c r="AC10" s="205">
        <v>22</v>
      </c>
      <c r="AD10" s="205">
        <v>16</v>
      </c>
      <c r="AE10" s="205">
        <v>6</v>
      </c>
      <c r="AF10" s="208">
        <v>3.42</v>
      </c>
      <c r="AG10" s="271">
        <f t="shared" si="2"/>
        <v>3.8018939632056113E-4</v>
      </c>
      <c r="AH10" s="271">
        <v>3.1622776601683798E-2</v>
      </c>
      <c r="AI10" s="271">
        <f t="shared" si="3"/>
        <v>1.2022644346174128E-5</v>
      </c>
      <c r="AJ10" s="271">
        <v>5.0118723362727197E-7</v>
      </c>
      <c r="AK10" s="271">
        <f t="shared" si="4"/>
        <v>112.20184543019644</v>
      </c>
      <c r="AL10" s="271">
        <v>5.6234132519034893E-11</v>
      </c>
      <c r="AM10" s="271">
        <f t="shared" si="5"/>
        <v>6.3095734448019354E-9</v>
      </c>
      <c r="AN10" s="272">
        <f t="shared" si="6"/>
        <v>112.2018454428156</v>
      </c>
      <c r="AO10" s="209">
        <f t="shared" si="7"/>
        <v>48.72688830343531</v>
      </c>
      <c r="AP10" s="209">
        <f t="shared" si="8"/>
        <v>32.424226007640101</v>
      </c>
      <c r="AQ10" s="273"/>
      <c r="AR10" s="274">
        <f t="shared" si="9"/>
        <v>5.3703179637025193E-2</v>
      </c>
      <c r="AS10" s="275">
        <f t="shared" si="10"/>
        <v>813.81306452417778</v>
      </c>
      <c r="AT10" s="275">
        <f t="shared" si="11"/>
        <v>217.58802237578152</v>
      </c>
      <c r="AU10" s="275">
        <f t="shared" si="12"/>
        <v>564.46280991735546</v>
      </c>
      <c r="AV10" s="276">
        <f t="shared" si="13"/>
        <v>60.585136310163172</v>
      </c>
      <c r="AW10" s="275">
        <f t="shared" si="14"/>
        <v>330.52531380932891</v>
      </c>
      <c r="AX10" s="276">
        <f t="shared" si="15"/>
        <v>61.982730408513916</v>
      </c>
      <c r="AY10" s="275">
        <f t="shared" si="16"/>
        <v>669.51847957621862</v>
      </c>
      <c r="AZ10" s="274">
        <f t="shared" si="17"/>
        <v>0</v>
      </c>
      <c r="BA10" s="274">
        <f t="shared" si="18"/>
        <v>1.5498869874071683</v>
      </c>
      <c r="BB10" s="275">
        <f t="shared" si="19"/>
        <v>778.43370317963706</v>
      </c>
      <c r="BC10" s="277"/>
      <c r="BD10" s="275">
        <f t="shared" si="20"/>
        <v>-185.50737765399049</v>
      </c>
      <c r="BE10" s="210">
        <f t="shared" si="21"/>
        <v>-5.3024638065790768</v>
      </c>
      <c r="BF10" s="278">
        <f t="shared" si="22"/>
        <v>1.3592646300505883E-3</v>
      </c>
    </row>
    <row r="11" spans="1:58" s="257" customFormat="1" ht="15.75" customHeight="1" x14ac:dyDescent="0.2">
      <c r="B11" s="46">
        <v>3</v>
      </c>
      <c r="C11" s="205" t="s">
        <v>146</v>
      </c>
      <c r="D11" s="205" t="s">
        <v>22</v>
      </c>
      <c r="E11" s="280">
        <v>42294.5</v>
      </c>
      <c r="F11" s="206">
        <v>1000</v>
      </c>
      <c r="G11" s="205">
        <v>4.8600000000000003</v>
      </c>
      <c r="H11" s="205">
        <v>7.38</v>
      </c>
      <c r="I11" s="205">
        <v>1160</v>
      </c>
      <c r="J11" s="205">
        <v>236</v>
      </c>
      <c r="K11" s="259">
        <v>18.2</v>
      </c>
      <c r="L11" s="205">
        <v>0.153</v>
      </c>
      <c r="M11" s="205">
        <v>1.2E-2</v>
      </c>
      <c r="N11" s="281">
        <v>6.1820000000000004</v>
      </c>
      <c r="O11" s="265">
        <f t="shared" si="0"/>
        <v>2.4749272080232931E-2</v>
      </c>
      <c r="P11" s="265">
        <f t="shared" si="1"/>
        <v>12.75</v>
      </c>
      <c r="Q11" s="257">
        <v>20.957000000000001</v>
      </c>
      <c r="R11" s="257">
        <v>2.9049999999999998</v>
      </c>
      <c r="S11" s="257">
        <v>19.782</v>
      </c>
      <c r="T11" s="265">
        <v>3.0057999999999998</v>
      </c>
      <c r="U11" s="265">
        <v>1.4269829503335805</v>
      </c>
      <c r="V11" s="217">
        <v>0.56590257879656158</v>
      </c>
      <c r="W11" s="265">
        <v>0.19125683060109291</v>
      </c>
      <c r="X11" s="213">
        <v>19.538651920525687</v>
      </c>
      <c r="Y11" s="213">
        <v>0.15717644609130801</v>
      </c>
      <c r="Z11" s="213">
        <v>34.885272037876902</v>
      </c>
      <c r="AA11" s="213"/>
      <c r="AB11" s="213"/>
      <c r="AC11" s="205">
        <v>31</v>
      </c>
      <c r="AD11" s="205">
        <v>10</v>
      </c>
      <c r="AE11" s="205">
        <v>4</v>
      </c>
      <c r="AF11" s="208">
        <v>3.42</v>
      </c>
      <c r="AG11" s="271">
        <f t="shared" si="2"/>
        <v>3.8018939632056113E-4</v>
      </c>
      <c r="AH11" s="271">
        <v>3.1622776601683798E-2</v>
      </c>
      <c r="AI11" s="271">
        <f t="shared" si="3"/>
        <v>1.2022644346174128E-5</v>
      </c>
      <c r="AJ11" s="271">
        <v>5.0118723362727197E-7</v>
      </c>
      <c r="AK11" s="271">
        <f t="shared" si="4"/>
        <v>144.54397707459273</v>
      </c>
      <c r="AL11" s="271">
        <v>5.6234132519034893E-11</v>
      </c>
      <c r="AM11" s="271">
        <f t="shared" si="5"/>
        <v>8.1283051616409878E-9</v>
      </c>
      <c r="AN11" s="272">
        <f t="shared" si="6"/>
        <v>144.54397709084935</v>
      </c>
      <c r="AO11" s="209">
        <f t="shared" si="7"/>
        <v>33.580299560193197</v>
      </c>
      <c r="AP11" s="209">
        <f t="shared" si="8"/>
        <v>22.294134710180305</v>
      </c>
      <c r="AQ11" s="273"/>
      <c r="AR11" s="274">
        <f t="shared" si="9"/>
        <v>4.1686938347033513E-2</v>
      </c>
      <c r="AS11" s="275">
        <f t="shared" si="10"/>
        <v>1045.8106691950695</v>
      </c>
      <c r="AT11" s="275">
        <f t="shared" si="11"/>
        <v>238.9766370516617</v>
      </c>
      <c r="AU11" s="275">
        <f t="shared" si="12"/>
        <v>860.46107003044801</v>
      </c>
      <c r="AV11" s="276">
        <f t="shared" si="13"/>
        <v>76.870748299319729</v>
      </c>
      <c r="AW11" s="275">
        <f t="shared" si="14"/>
        <v>406.78405897163742</v>
      </c>
      <c r="AX11" s="276">
        <f t="shared" si="15"/>
        <v>2.5348300440324674</v>
      </c>
      <c r="AY11" s="275">
        <f t="shared" si="16"/>
        <v>983.98646201666702</v>
      </c>
      <c r="AZ11" s="274">
        <f t="shared" si="17"/>
        <v>0</v>
      </c>
      <c r="BA11" s="274">
        <f t="shared" si="18"/>
        <v>0.96867936712948011</v>
      </c>
      <c r="BB11" s="275">
        <f t="shared" si="19"/>
        <v>1128.4216869383472</v>
      </c>
      <c r="BC11" s="277"/>
      <c r="BD11" s="275">
        <f t="shared" si="20"/>
        <v>-300.53490582296718</v>
      </c>
      <c r="BE11" s="210">
        <f t="shared" si="21"/>
        <v>-6.3339092340403971</v>
      </c>
      <c r="BF11" s="278">
        <f t="shared" si="22"/>
        <v>1.8077330812735913E-3</v>
      </c>
    </row>
    <row r="12" spans="1:58" s="257" customFormat="1" ht="12.75" x14ac:dyDescent="0.2">
      <c r="B12" s="46">
        <v>6</v>
      </c>
      <c r="C12" s="205" t="s">
        <v>106</v>
      </c>
      <c r="D12" s="205" t="s">
        <v>22</v>
      </c>
      <c r="E12" s="258" t="s">
        <v>276</v>
      </c>
      <c r="F12" s="206">
        <v>1000</v>
      </c>
      <c r="G12" s="259"/>
      <c r="H12" s="260">
        <v>7.4</v>
      </c>
      <c r="I12" s="261">
        <v>1074.1940625622635</v>
      </c>
      <c r="J12" s="287">
        <v>252</v>
      </c>
      <c r="K12" s="263">
        <v>20.6</v>
      </c>
      <c r="L12" s="214">
        <v>0.13700000000000001</v>
      </c>
      <c r="M12" s="214">
        <v>5.0000000000000001E-4</v>
      </c>
      <c r="N12" s="264">
        <v>5.3949999999999996</v>
      </c>
      <c r="O12" s="265">
        <f t="shared" si="0"/>
        <v>2.5393883225208531E-2</v>
      </c>
      <c r="P12" s="265">
        <f t="shared" si="1"/>
        <v>274</v>
      </c>
      <c r="Q12" s="266">
        <v>28.177924713367048</v>
      </c>
      <c r="R12" s="266">
        <v>3.7610949525191009</v>
      </c>
      <c r="S12" s="266">
        <v>27.074719368361912</v>
      </c>
      <c r="T12" s="266">
        <v>3.9643325280655914</v>
      </c>
      <c r="U12" s="265">
        <v>1.8206078576723497</v>
      </c>
      <c r="V12" s="267">
        <v>2.0707314889426089</v>
      </c>
      <c r="W12" s="265">
        <v>0.7322800247551785</v>
      </c>
      <c r="X12" s="267">
        <v>21.297070438287882</v>
      </c>
      <c r="Y12" s="267">
        <v>1.0257998756515128</v>
      </c>
      <c r="Z12" s="207">
        <v>41.935394225127823</v>
      </c>
      <c r="AA12" s="268">
        <v>0.13893554180136009</v>
      </c>
      <c r="AB12" s="268"/>
      <c r="AC12" s="269">
        <v>17.71</v>
      </c>
      <c r="AD12" s="288">
        <v>7.1199779097059226</v>
      </c>
      <c r="AE12" s="270">
        <f>AC12-AD12</f>
        <v>10.590022090294077</v>
      </c>
      <c r="AF12" s="208">
        <v>3.42</v>
      </c>
      <c r="AG12" s="271">
        <f t="shared" si="2"/>
        <v>3.8018939632056113E-4</v>
      </c>
      <c r="AH12" s="271">
        <v>3.1622776601683798E-2</v>
      </c>
      <c r="AI12" s="271">
        <f t="shared" si="3"/>
        <v>1.2022644346174128E-5</v>
      </c>
      <c r="AJ12" s="271">
        <v>5.0118723362727197E-7</v>
      </c>
      <c r="AK12" s="271">
        <f t="shared" si="4"/>
        <v>151.3561248436213</v>
      </c>
      <c r="AL12" s="271">
        <v>5.6234132519034893E-11</v>
      </c>
      <c r="AM12" s="271">
        <f t="shared" si="5"/>
        <v>8.5113803820237901E-9</v>
      </c>
      <c r="AN12" s="272">
        <f t="shared" si="6"/>
        <v>151.35612486064406</v>
      </c>
      <c r="AO12" s="209">
        <f t="shared" si="7"/>
        <v>29.316482083177629</v>
      </c>
      <c r="AP12" s="209">
        <f t="shared" si="8"/>
        <v>19.455978123814742</v>
      </c>
      <c r="AQ12" s="273"/>
      <c r="AR12" s="274">
        <f t="shared" si="9"/>
        <v>3.9810717055349568E-2</v>
      </c>
      <c r="AS12" s="275">
        <f t="shared" si="10"/>
        <v>1406.1542349102774</v>
      </c>
      <c r="AT12" s="275">
        <f t="shared" si="11"/>
        <v>309.40234884165022</v>
      </c>
      <c r="AU12" s="275">
        <f t="shared" si="12"/>
        <v>1177.6737437304007</v>
      </c>
      <c r="AV12" s="275">
        <f t="shared" si="13"/>
        <v>101.38439282045911</v>
      </c>
      <c r="AW12" s="275">
        <f t="shared" si="14"/>
        <v>443.39337188307553</v>
      </c>
      <c r="AX12" s="276">
        <f t="shared" si="15"/>
        <v>16.543371533261933</v>
      </c>
      <c r="AY12" s="275">
        <f t="shared" si="16"/>
        <v>1182.8447303508256</v>
      </c>
      <c r="AZ12" s="274">
        <f t="shared" si="17"/>
        <v>7.3131667439393659</v>
      </c>
      <c r="BA12" s="274">
        <f t="shared" si="18"/>
        <v>0.68969756955498118</v>
      </c>
      <c r="BB12" s="275">
        <f t="shared" si="19"/>
        <v>1042.613873279319</v>
      </c>
      <c r="BC12" s="277"/>
      <c r="BD12" s="275">
        <f t="shared" si="20"/>
        <v>301.25631965986713</v>
      </c>
      <c r="BE12" s="210">
        <f t="shared" si="21"/>
        <v>5.2962996882097251</v>
      </c>
      <c r="BF12" s="278">
        <f t="shared" si="22"/>
        <v>2.3223745857654725E-3</v>
      </c>
    </row>
    <row r="13" spans="1:58" s="257" customFormat="1" ht="12.75" x14ac:dyDescent="0.2">
      <c r="B13" s="46">
        <v>7</v>
      </c>
      <c r="C13" s="205" t="s">
        <v>106</v>
      </c>
      <c r="D13" s="205" t="s">
        <v>22</v>
      </c>
      <c r="E13" s="258" t="s">
        <v>286</v>
      </c>
      <c r="F13" s="206">
        <v>2000</v>
      </c>
      <c r="G13" s="214">
        <v>3.799999999999994</v>
      </c>
      <c r="H13" s="260">
        <v>7.39</v>
      </c>
      <c r="I13" s="261">
        <v>1194.6945799962623</v>
      </c>
      <c r="J13" s="262">
        <v>261</v>
      </c>
      <c r="K13" s="263">
        <v>22.5</v>
      </c>
      <c r="L13" s="279">
        <v>0.13200000000000001</v>
      </c>
      <c r="M13" s="214">
        <v>1.6E-2</v>
      </c>
      <c r="N13" s="265">
        <v>4.008</v>
      </c>
      <c r="O13" s="265">
        <f t="shared" si="0"/>
        <v>3.2934131736526949E-2</v>
      </c>
      <c r="P13" s="265">
        <f t="shared" si="1"/>
        <v>8.25</v>
      </c>
      <c r="Q13" s="265">
        <v>22.299099999999999</v>
      </c>
      <c r="R13" s="214">
        <v>3.0527299999999999</v>
      </c>
      <c r="S13" s="265">
        <v>25.276700000000002</v>
      </c>
      <c r="T13" s="265">
        <v>2.7717800000000001</v>
      </c>
      <c r="U13" s="215">
        <v>0</v>
      </c>
      <c r="V13" s="211">
        <v>0</v>
      </c>
      <c r="W13" s="211">
        <v>0</v>
      </c>
      <c r="X13" s="213">
        <f>2.35888038177567*10</f>
        <v>23.588803817756698</v>
      </c>
      <c r="Y13" s="213">
        <v>0.39617740460422146</v>
      </c>
      <c r="Z13" s="213">
        <v>44.235860060574765</v>
      </c>
      <c r="AA13" s="213">
        <v>0.15715786581948643</v>
      </c>
      <c r="AB13" s="213"/>
      <c r="AC13" s="257">
        <v>50</v>
      </c>
      <c r="AD13" s="257">
        <v>37</v>
      </c>
      <c r="AE13" s="257">
        <v>3</v>
      </c>
      <c r="AF13" s="208">
        <v>3.42</v>
      </c>
      <c r="AG13" s="271">
        <f t="shared" si="2"/>
        <v>3.8018939632056113E-4</v>
      </c>
      <c r="AH13" s="271">
        <v>3.1622776601683798E-2</v>
      </c>
      <c r="AI13" s="271">
        <f t="shared" si="3"/>
        <v>1.2022644346174128E-5</v>
      </c>
      <c r="AJ13" s="271">
        <v>5.0118723362727197E-7</v>
      </c>
      <c r="AK13" s="271">
        <f t="shared" si="4"/>
        <v>147.9108388168207</v>
      </c>
      <c r="AL13" s="271">
        <v>5.6234132519034893E-11</v>
      </c>
      <c r="AM13" s="271">
        <f t="shared" si="5"/>
        <v>8.3176377110267054E-9</v>
      </c>
      <c r="AN13" s="272">
        <f t="shared" si="6"/>
        <v>147.91083883345598</v>
      </c>
      <c r="AO13" s="209">
        <f t="shared" si="7"/>
        <v>21.775407188738708</v>
      </c>
      <c r="AP13" s="209">
        <f t="shared" si="8"/>
        <v>14.454042691427151</v>
      </c>
      <c r="AQ13" s="273"/>
      <c r="AR13" s="274">
        <f t="shared" si="9"/>
        <v>4.0738027780411253E-2</v>
      </c>
      <c r="AS13" s="275">
        <f t="shared" si="10"/>
        <v>1112.7850691152253</v>
      </c>
      <c r="AT13" s="275">
        <f t="shared" si="11"/>
        <v>251.12948338269163</v>
      </c>
      <c r="AU13" s="275">
        <f t="shared" si="12"/>
        <v>1099.4649847759897</v>
      </c>
      <c r="AV13" s="276">
        <f t="shared" si="13"/>
        <v>70.885888189862428</v>
      </c>
      <c r="AW13" s="275">
        <f t="shared" si="14"/>
        <v>491.10600886402187</v>
      </c>
      <c r="AX13" s="276">
        <f t="shared" si="15"/>
        <v>6.389267685656896</v>
      </c>
      <c r="AY13" s="275">
        <f t="shared" si="16"/>
        <v>1247.732492612043</v>
      </c>
      <c r="AZ13" s="274">
        <f t="shared" si="17"/>
        <v>8.2723373944355405</v>
      </c>
      <c r="BA13" s="274">
        <f t="shared" si="18"/>
        <v>3.5841136583790769</v>
      </c>
      <c r="BB13" s="275">
        <f t="shared" si="19"/>
        <v>1163.1153180240428</v>
      </c>
      <c r="BC13" s="277"/>
      <c r="BD13" s="275">
        <f t="shared" si="20"/>
        <v>-385.89337474702961</v>
      </c>
      <c r="BE13" s="210">
        <f t="shared" si="21"/>
        <v>-7.0747634313523058</v>
      </c>
      <c r="BF13" s="278">
        <f t="shared" si="22"/>
        <v>2.1439031350238532E-3</v>
      </c>
    </row>
    <row r="14" spans="1:58" s="257" customFormat="1" ht="12.75" x14ac:dyDescent="0.2">
      <c r="B14" s="46">
        <v>9</v>
      </c>
      <c r="C14" s="205" t="s">
        <v>109</v>
      </c>
      <c r="D14" s="205" t="s">
        <v>22</v>
      </c>
      <c r="E14" s="258" t="s">
        <v>278</v>
      </c>
      <c r="F14" s="206">
        <v>1000</v>
      </c>
      <c r="G14" s="259"/>
      <c r="H14" s="260">
        <v>7.23</v>
      </c>
      <c r="I14" s="261">
        <v>228.3687661434532</v>
      </c>
      <c r="J14" s="262">
        <v>45.9</v>
      </c>
      <c r="K14" s="263">
        <v>20.6</v>
      </c>
      <c r="L14" s="214">
        <v>2.8000000000000001E-2</v>
      </c>
      <c r="M14" s="214">
        <v>3.0000000000000001E-3</v>
      </c>
      <c r="N14" s="264">
        <v>1.9119999999999999</v>
      </c>
      <c r="O14" s="265">
        <f t="shared" si="0"/>
        <v>1.4644351464435146E-2</v>
      </c>
      <c r="P14" s="265">
        <f t="shared" si="1"/>
        <v>9.3333333333333339</v>
      </c>
      <c r="Q14" s="266">
        <v>7.6698182323586517</v>
      </c>
      <c r="R14" s="266">
        <v>1.1573751651842334</v>
      </c>
      <c r="S14" s="266">
        <v>1.9272171947874293</v>
      </c>
      <c r="T14" s="266">
        <v>0.55636694586113178</v>
      </c>
      <c r="U14" s="265">
        <v>1.2961452928094885</v>
      </c>
      <c r="V14" s="267">
        <v>0.69818246933476591</v>
      </c>
      <c r="W14" s="265">
        <v>3.0943973206159669E-2</v>
      </c>
      <c r="X14" s="267">
        <v>8.5118327836603971</v>
      </c>
      <c r="Y14" s="267">
        <v>0.86668992878542694</v>
      </c>
      <c r="Z14" s="207">
        <v>2.6962483191737561</v>
      </c>
      <c r="AA14" s="268">
        <v>5.9645730383722256E-2</v>
      </c>
      <c r="AB14" s="268"/>
      <c r="AC14" s="289">
        <v>0</v>
      </c>
      <c r="AD14" s="289">
        <v>0</v>
      </c>
      <c r="AE14" s="270">
        <f>AC14-AD14</f>
        <v>0</v>
      </c>
      <c r="AF14" s="208">
        <v>3.42</v>
      </c>
      <c r="AG14" s="271">
        <f t="shared" si="2"/>
        <v>3.8018939632056113E-4</v>
      </c>
      <c r="AH14" s="271">
        <v>3.1622776601683798E-2</v>
      </c>
      <c r="AI14" s="271">
        <f t="shared" si="3"/>
        <v>1.2022644346174128E-5</v>
      </c>
      <c r="AJ14" s="271">
        <v>5.0118723362727197E-7</v>
      </c>
      <c r="AK14" s="271">
        <f t="shared" si="4"/>
        <v>102.32929922807556</v>
      </c>
      <c r="AL14" s="271">
        <v>5.6234132519034893E-11</v>
      </c>
      <c r="AM14" s="271">
        <f t="shared" si="5"/>
        <v>5.754399373371576E-9</v>
      </c>
      <c r="AN14" s="272">
        <f t="shared" si="6"/>
        <v>102.32929923958436</v>
      </c>
      <c r="AO14" s="209">
        <f t="shared" si="7"/>
        <v>10.352542844677746</v>
      </c>
      <c r="AP14" s="209">
        <f t="shared" si="8"/>
        <v>6.8952419226568651</v>
      </c>
      <c r="AQ14" s="273"/>
      <c r="AR14" s="274">
        <f t="shared" si="9"/>
        <v>5.8884365535558779E-2</v>
      </c>
      <c r="AS14" s="275">
        <f t="shared" si="10"/>
        <v>382.74455972646592</v>
      </c>
      <c r="AT14" s="276">
        <f t="shared" si="11"/>
        <v>95.210197859841514</v>
      </c>
      <c r="AU14" s="276">
        <f t="shared" si="12"/>
        <v>83.828499120810321</v>
      </c>
      <c r="AV14" s="276">
        <f t="shared" si="13"/>
        <v>14.228605847811668</v>
      </c>
      <c r="AW14" s="275">
        <f t="shared" si="14"/>
        <v>177.2117085205779</v>
      </c>
      <c r="AX14" s="276">
        <f t="shared" si="15"/>
        <v>13.977359362543515</v>
      </c>
      <c r="AY14" s="276">
        <f t="shared" si="16"/>
        <v>76.051344573766841</v>
      </c>
      <c r="AZ14" s="274">
        <f t="shared" si="17"/>
        <v>3.1395794496116567</v>
      </c>
      <c r="BA14" s="274">
        <f t="shared" si="18"/>
        <v>0</v>
      </c>
      <c r="BB14" s="275">
        <f t="shared" si="19"/>
        <v>196.80765050898876</v>
      </c>
      <c r="BC14" s="277"/>
      <c r="BD14" s="275">
        <f t="shared" si="20"/>
        <v>108.88310450497636</v>
      </c>
      <c r="BE14" s="210">
        <f t="shared" si="21"/>
        <v>10.436829995134929</v>
      </c>
      <c r="BF14" s="278">
        <f t="shared" si="22"/>
        <v>4.2322536941348244E-4</v>
      </c>
    </row>
    <row r="15" spans="1:58" s="257" customFormat="1" ht="12.75" x14ac:dyDescent="0.2">
      <c r="B15" s="46">
        <v>11</v>
      </c>
      <c r="C15" s="205" t="s">
        <v>109</v>
      </c>
      <c r="D15" s="205" t="s">
        <v>22</v>
      </c>
      <c r="E15" s="282" t="s">
        <v>290</v>
      </c>
      <c r="F15" s="206">
        <v>2000</v>
      </c>
      <c r="G15" s="214">
        <v>0.89999999999997493</v>
      </c>
      <c r="H15" s="260">
        <v>6.5</v>
      </c>
      <c r="I15" s="261">
        <v>274.43862139204447</v>
      </c>
      <c r="J15" s="285">
        <v>44</v>
      </c>
      <c r="K15" s="263">
        <v>22.7</v>
      </c>
      <c r="L15" s="279">
        <v>2.7E-2</v>
      </c>
      <c r="M15" s="214">
        <v>2E-3</v>
      </c>
      <c r="N15" s="265">
        <v>0.75080000000000002</v>
      </c>
      <c r="O15" s="265">
        <f t="shared" si="0"/>
        <v>3.5961640916355883E-2</v>
      </c>
      <c r="P15" s="265">
        <f t="shared" si="1"/>
        <v>13.5</v>
      </c>
      <c r="Q15" s="265">
        <v>5.4847400000000004</v>
      </c>
      <c r="R15" s="214">
        <v>0.93453299999999995</v>
      </c>
      <c r="S15" s="265">
        <v>0.84845999999999999</v>
      </c>
      <c r="T15" s="211">
        <v>0</v>
      </c>
      <c r="U15" s="215">
        <v>0</v>
      </c>
      <c r="V15" s="211">
        <v>0</v>
      </c>
      <c r="W15" s="211">
        <v>0</v>
      </c>
      <c r="X15" s="213">
        <v>8.9091169830723622</v>
      </c>
      <c r="Y15" s="213">
        <v>0.36588690437388222</v>
      </c>
      <c r="Z15" s="213">
        <v>2.8898767239326824</v>
      </c>
      <c r="AA15" s="213">
        <v>8.1802591515781356E-2</v>
      </c>
      <c r="AB15" s="213"/>
      <c r="AC15" s="257">
        <v>50</v>
      </c>
      <c r="AD15" s="257">
        <v>30</v>
      </c>
      <c r="AE15" s="257">
        <v>1</v>
      </c>
      <c r="AF15" s="208">
        <v>3.42</v>
      </c>
      <c r="AG15" s="271">
        <f t="shared" si="2"/>
        <v>3.8018939632056113E-4</v>
      </c>
      <c r="AH15" s="271">
        <v>3.1622776601683798E-2</v>
      </c>
      <c r="AI15" s="271">
        <f t="shared" si="3"/>
        <v>1.2022644346174128E-5</v>
      </c>
      <c r="AJ15" s="271">
        <v>5.0118723362727197E-7</v>
      </c>
      <c r="AK15" s="271">
        <f t="shared" si="4"/>
        <v>19.054607179632495</v>
      </c>
      <c r="AL15" s="271">
        <v>5.6234132519034893E-11</v>
      </c>
      <c r="AM15" s="271">
        <f t="shared" si="5"/>
        <v>1.0715193052376076E-9</v>
      </c>
      <c r="AN15" s="272">
        <f t="shared" si="6"/>
        <v>19.054607181775534</v>
      </c>
      <c r="AO15" s="209">
        <f t="shared" si="7"/>
        <v>3.9480040487591719</v>
      </c>
      <c r="AP15" s="209">
        <f t="shared" si="8"/>
        <v>2.7076085959888991</v>
      </c>
      <c r="AQ15" s="273"/>
      <c r="AR15" s="274">
        <f t="shared" si="9"/>
        <v>0.31622776601683733</v>
      </c>
      <c r="AS15" s="275">
        <f t="shared" si="10"/>
        <v>273.70327860671688</v>
      </c>
      <c r="AT15" s="275">
        <f t="shared" si="11"/>
        <v>76.878331688055269</v>
      </c>
      <c r="AU15" s="275">
        <f t="shared" si="12"/>
        <v>36.90561113527621</v>
      </c>
      <c r="AV15" s="276">
        <f t="shared" si="13"/>
        <v>0</v>
      </c>
      <c r="AW15" s="275">
        <f t="shared" si="14"/>
        <v>185.48294851499756</v>
      </c>
      <c r="AX15" s="276">
        <f t="shared" si="15"/>
        <v>5.9007640202410734</v>
      </c>
      <c r="AY15" s="275">
        <f t="shared" si="16"/>
        <v>81.512896621800195</v>
      </c>
      <c r="AZ15" s="274">
        <f t="shared" si="17"/>
        <v>4.3058528011254529</v>
      </c>
      <c r="BA15" s="274">
        <f t="shared" si="18"/>
        <v>2.9060381013884404</v>
      </c>
      <c r="BB15" s="275">
        <f t="shared" si="19"/>
        <v>243.13484915806131</v>
      </c>
      <c r="BC15" s="277"/>
      <c r="BD15" s="275">
        <f t="shared" si="20"/>
        <v>-135.43990002154891</v>
      </c>
      <c r="BE15" s="210">
        <f t="shared" si="21"/>
        <v>-14.86640425688096</v>
      </c>
      <c r="BF15" s="278">
        <f t="shared" si="22"/>
        <v>3.3250295557711471E-4</v>
      </c>
    </row>
    <row r="16" spans="1:58" s="257" customFormat="1" ht="15.75" customHeight="1" x14ac:dyDescent="0.2">
      <c r="B16" s="46">
        <v>1</v>
      </c>
      <c r="C16" s="205" t="s">
        <v>109</v>
      </c>
      <c r="D16" s="205" t="s">
        <v>22</v>
      </c>
      <c r="E16" s="280">
        <v>42292.5</v>
      </c>
      <c r="F16" s="206">
        <v>1000</v>
      </c>
      <c r="G16" s="205">
        <v>0</v>
      </c>
      <c r="H16" s="205">
        <v>7.46</v>
      </c>
      <c r="I16" s="205">
        <v>270</v>
      </c>
      <c r="J16" s="205">
        <v>49.3</v>
      </c>
      <c r="K16" s="259">
        <v>20.9</v>
      </c>
      <c r="L16" s="205">
        <v>3.5999999999999997E-2</v>
      </c>
      <c r="M16" s="205">
        <v>2E-3</v>
      </c>
      <c r="N16" s="281">
        <v>2.2309999999999999</v>
      </c>
      <c r="O16" s="265">
        <f t="shared" si="0"/>
        <v>1.6136261766024205E-2</v>
      </c>
      <c r="P16" s="265">
        <f t="shared" si="1"/>
        <v>18</v>
      </c>
      <c r="Q16" s="257">
        <v>5.5270000000000001</v>
      </c>
      <c r="R16" s="257">
        <v>1.1220000000000001</v>
      </c>
      <c r="S16" s="257">
        <v>1.8620000000000001</v>
      </c>
      <c r="T16" s="265">
        <v>0.5181</v>
      </c>
      <c r="U16" s="265">
        <v>1.6234247590808004</v>
      </c>
      <c r="V16" s="217">
        <v>0.51755014326647564</v>
      </c>
      <c r="W16" s="265">
        <v>0.20036429872495448</v>
      </c>
      <c r="X16" s="213">
        <v>7.5561335143805124</v>
      </c>
      <c r="Y16" s="213">
        <v>0.21082915674010316</v>
      </c>
      <c r="Z16" s="213">
        <v>2.4598227996121751</v>
      </c>
      <c r="AA16" s="213"/>
      <c r="AB16" s="213"/>
      <c r="AC16" s="205">
        <v>13</v>
      </c>
      <c r="AD16" s="205">
        <v>8</v>
      </c>
      <c r="AE16" s="205">
        <v>10</v>
      </c>
      <c r="AF16" s="208">
        <v>3.42</v>
      </c>
      <c r="AG16" s="271">
        <f t="shared" si="2"/>
        <v>3.8018939632056113E-4</v>
      </c>
      <c r="AH16" s="271">
        <v>3.1622776601683798E-2</v>
      </c>
      <c r="AI16" s="271">
        <f t="shared" si="3"/>
        <v>1.2022644346174128E-5</v>
      </c>
      <c r="AJ16" s="271">
        <v>5.0118723362727197E-7</v>
      </c>
      <c r="AK16" s="271">
        <f t="shared" si="4"/>
        <v>173.78008287493739</v>
      </c>
      <c r="AL16" s="271">
        <v>5.6234132519034893E-11</v>
      </c>
      <c r="AM16" s="271">
        <f t="shared" si="5"/>
        <v>9.7723722095580961E-9</v>
      </c>
      <c r="AN16" s="272">
        <f t="shared" si="6"/>
        <v>173.78008289448215</v>
      </c>
      <c r="AO16" s="209">
        <f t="shared" si="7"/>
        <v>12.136324024003823</v>
      </c>
      <c r="AP16" s="209">
        <f t="shared" si="8"/>
        <v>8.0456510091252422</v>
      </c>
      <c r="AQ16" s="273"/>
      <c r="AR16" s="274">
        <f t="shared" si="9"/>
        <v>3.4673685045253172E-2</v>
      </c>
      <c r="AS16" s="275">
        <f t="shared" si="10"/>
        <v>275.81216627576225</v>
      </c>
      <c r="AT16" s="275">
        <f t="shared" si="11"/>
        <v>92.300098716683124</v>
      </c>
      <c r="AU16" s="275">
        <f t="shared" si="12"/>
        <v>80.991735537190095</v>
      </c>
      <c r="AV16" s="276">
        <f t="shared" si="13"/>
        <v>13.249961638790856</v>
      </c>
      <c r="AW16" s="275">
        <f t="shared" si="14"/>
        <v>157.31457183503733</v>
      </c>
      <c r="AX16" s="276">
        <f t="shared" si="15"/>
        <v>3.4001028395335209</v>
      </c>
      <c r="AY16" s="275">
        <f t="shared" si="16"/>
        <v>69.382641796524268</v>
      </c>
      <c r="AZ16" s="274">
        <f t="shared" si="17"/>
        <v>0</v>
      </c>
      <c r="BA16" s="274">
        <f t="shared" si="18"/>
        <v>0.77494349370358417</v>
      </c>
      <c r="BB16" s="275">
        <f t="shared" si="19"/>
        <v>238.41467368504524</v>
      </c>
      <c r="BC16" s="277"/>
      <c r="BD16" s="275">
        <f t="shared" si="20"/>
        <v>-6.8982977963723329</v>
      </c>
      <c r="BE16" s="210">
        <f t="shared" si="21"/>
        <v>-0.7404184484573183</v>
      </c>
      <c r="BF16" s="278">
        <f t="shared" si="22"/>
        <v>3.4624297616228335E-4</v>
      </c>
    </row>
    <row r="17" spans="2:58" s="257" customFormat="1" ht="12.75" x14ac:dyDescent="0.2">
      <c r="B17" s="46">
        <v>2</v>
      </c>
      <c r="C17" s="205" t="s">
        <v>270</v>
      </c>
      <c r="D17" s="205" t="s">
        <v>0</v>
      </c>
      <c r="E17" s="258" t="s">
        <v>271</v>
      </c>
      <c r="F17" s="206">
        <v>1000</v>
      </c>
      <c r="G17" s="259"/>
      <c r="H17" s="260">
        <v>6.6</v>
      </c>
      <c r="I17" s="261">
        <v>346.51930261519306</v>
      </c>
      <c r="J17" s="262">
        <v>64</v>
      </c>
      <c r="K17" s="263">
        <v>21.4</v>
      </c>
      <c r="L17" s="214">
        <v>0.27500000000000002</v>
      </c>
      <c r="M17" s="214">
        <v>3.5000000000000003E-2</v>
      </c>
      <c r="N17" s="264">
        <v>6.5380000000000003</v>
      </c>
      <c r="O17" s="265">
        <f t="shared" si="0"/>
        <v>4.2061792597124503E-2</v>
      </c>
      <c r="P17" s="265">
        <f t="shared" si="1"/>
        <v>7.8571428571428568</v>
      </c>
      <c r="Q17" s="266">
        <v>8.4512658170551767</v>
      </c>
      <c r="R17" s="266">
        <v>0.89743638548216575</v>
      </c>
      <c r="S17" s="266">
        <v>2.6917224357684515</v>
      </c>
      <c r="T17" s="266">
        <v>0.60769756858625779</v>
      </c>
      <c r="U17" s="265">
        <v>7.3843587842846548</v>
      </c>
      <c r="V17" s="267">
        <v>5.2704807950577486</v>
      </c>
      <c r="W17" s="265">
        <v>0.33965561178055259</v>
      </c>
      <c r="X17" s="267">
        <v>4.7470767520003845</v>
      </c>
      <c r="Y17" s="267">
        <v>1.4001543695492296</v>
      </c>
      <c r="Z17" s="207">
        <v>3.7061480085695822</v>
      </c>
      <c r="AA17" s="268">
        <v>8.3136873949236023E-2</v>
      </c>
      <c r="AB17" s="268"/>
      <c r="AC17" s="288">
        <v>6.68</v>
      </c>
      <c r="AD17" s="288">
        <v>1.4278613834046656</v>
      </c>
      <c r="AE17" s="270">
        <f>AC17-AD17</f>
        <v>5.2521386165953343</v>
      </c>
      <c r="AF17" s="208">
        <v>3.42</v>
      </c>
      <c r="AG17" s="271">
        <f t="shared" si="2"/>
        <v>3.8018939632056113E-4</v>
      </c>
      <c r="AH17" s="271">
        <v>3.1622776601683798E-2</v>
      </c>
      <c r="AI17" s="271">
        <f t="shared" si="3"/>
        <v>1.2022644346174128E-5</v>
      </c>
      <c r="AJ17" s="271">
        <v>5.0118723362727197E-7</v>
      </c>
      <c r="AK17" s="271">
        <f t="shared" si="4"/>
        <v>23.988329190194907</v>
      </c>
      <c r="AL17" s="271">
        <v>5.6234132519034893E-11</v>
      </c>
      <c r="AM17" s="271">
        <f t="shared" si="5"/>
        <v>1.3489628825916535E-9</v>
      </c>
      <c r="AN17" s="272">
        <f t="shared" si="6"/>
        <v>23.988329192892834</v>
      </c>
      <c r="AO17" s="209">
        <f t="shared" si="7"/>
        <v>34.578714750085958</v>
      </c>
      <c r="AP17" s="209">
        <f t="shared" si="8"/>
        <v>23.577976825486704</v>
      </c>
      <c r="AQ17" s="273"/>
      <c r="AR17" s="274">
        <f t="shared" si="9"/>
        <v>0.25118864315095779</v>
      </c>
      <c r="AS17" s="275">
        <f t="shared" si="10"/>
        <v>421.74089610535339</v>
      </c>
      <c r="AT17" s="276">
        <f t="shared" si="11"/>
        <v>73.826619404587504</v>
      </c>
      <c r="AU17" s="275">
        <f t="shared" si="12"/>
        <v>117.0823156054133</v>
      </c>
      <c r="AV17" s="276">
        <f t="shared" si="13"/>
        <v>15.541342350423452</v>
      </c>
      <c r="AW17" s="276">
        <f t="shared" si="14"/>
        <v>98.831544636916732</v>
      </c>
      <c r="AX17" s="276">
        <f t="shared" si="15"/>
        <v>22.580694820869834</v>
      </c>
      <c r="AY17" s="275">
        <f t="shared" si="16"/>
        <v>104.5369364671419</v>
      </c>
      <c r="AZ17" s="274">
        <f t="shared" si="17"/>
        <v>4.3760855852845566</v>
      </c>
      <c r="BA17" s="274">
        <f t="shared" si="18"/>
        <v>0.13831398612250556</v>
      </c>
      <c r="BB17" s="275">
        <f t="shared" si="19"/>
        <v>315.150491258344</v>
      </c>
      <c r="BC17" s="277"/>
      <c r="BD17" s="275">
        <f t="shared" si="20"/>
        <v>82.828295354249121</v>
      </c>
      <c r="BE17" s="210">
        <f t="shared" si="21"/>
        <v>7.0548819731280048</v>
      </c>
      <c r="BF17" s="278">
        <f t="shared" si="22"/>
        <v>4.2938381180957083E-4</v>
      </c>
    </row>
    <row r="18" spans="2:58" s="257" customFormat="1" ht="12.75" x14ac:dyDescent="0.2">
      <c r="B18" s="46">
        <v>10</v>
      </c>
      <c r="C18" s="205" t="s">
        <v>110</v>
      </c>
      <c r="D18" s="205" t="s">
        <v>22</v>
      </c>
      <c r="E18" s="258" t="s">
        <v>272</v>
      </c>
      <c r="F18" s="206">
        <v>1000</v>
      </c>
      <c r="G18" s="259"/>
      <c r="H18" s="260">
        <v>6.68</v>
      </c>
      <c r="I18" s="261">
        <v>111.6865552903739</v>
      </c>
      <c r="J18" s="262">
        <v>19.899999999999999</v>
      </c>
      <c r="K18" s="263">
        <v>18</v>
      </c>
      <c r="L18" s="214">
        <v>0.16300000000000001</v>
      </c>
      <c r="M18" s="214">
        <v>1.7999999999999999E-2</v>
      </c>
      <c r="N18" s="264">
        <v>4.4489999999999998</v>
      </c>
      <c r="O18" s="265">
        <f t="shared" si="0"/>
        <v>3.6637446617217358E-2</v>
      </c>
      <c r="P18" s="265">
        <f t="shared" si="1"/>
        <v>9.0555555555555571</v>
      </c>
      <c r="Q18" s="266">
        <v>2.5902686975781251</v>
      </c>
      <c r="R18" s="290">
        <v>0.18869372880455609</v>
      </c>
      <c r="S18" s="266">
        <v>1.0203037935276513</v>
      </c>
      <c r="T18" s="266">
        <v>0.32467631637472705</v>
      </c>
      <c r="U18" s="265">
        <v>4.1823573017049664</v>
      </c>
      <c r="V18" s="267">
        <v>1.2609902408451965</v>
      </c>
      <c r="W18" s="265">
        <v>0.12013542538861989</v>
      </c>
      <c r="X18" s="267">
        <v>2.0594255209594228</v>
      </c>
      <c r="Y18" s="267">
        <v>1.2088644865528269</v>
      </c>
      <c r="Z18" s="207">
        <v>1.6190733744024632</v>
      </c>
      <c r="AA18" s="268">
        <v>6.7682960121688604E-2</v>
      </c>
      <c r="AB18" s="268"/>
      <c r="AC18" s="288">
        <v>0</v>
      </c>
      <c r="AD18" s="289">
        <v>0.13419853651801641</v>
      </c>
      <c r="AE18" s="270">
        <v>0</v>
      </c>
      <c r="AF18" s="208">
        <v>3.42</v>
      </c>
      <c r="AG18" s="271">
        <f t="shared" si="2"/>
        <v>3.8018939632056113E-4</v>
      </c>
      <c r="AH18" s="271">
        <v>3.1622776601683798E-2</v>
      </c>
      <c r="AI18" s="271">
        <f t="shared" si="3"/>
        <v>1.2022644346174128E-5</v>
      </c>
      <c r="AJ18" s="271">
        <v>5.0118723362727197E-7</v>
      </c>
      <c r="AK18" s="271">
        <f t="shared" si="4"/>
        <v>28.840315031266044</v>
      </c>
      <c r="AL18" s="271">
        <v>5.6234132519034893E-11</v>
      </c>
      <c r="AM18" s="271">
        <f t="shared" si="5"/>
        <v>1.6218100973589288E-9</v>
      </c>
      <c r="AN18" s="272">
        <f t="shared" si="6"/>
        <v>28.840315034509665</v>
      </c>
      <c r="AO18" s="209">
        <f t="shared" si="7"/>
        <v>23.627814299599386</v>
      </c>
      <c r="AP18" s="209">
        <f t="shared" si="8"/>
        <v>16.04442014325334</v>
      </c>
      <c r="AQ18" s="273"/>
      <c r="AR18" s="274">
        <f t="shared" si="9"/>
        <v>0.20892961308540389</v>
      </c>
      <c r="AS18" s="275">
        <f t="shared" si="10"/>
        <v>129.26137519727158</v>
      </c>
      <c r="AT18" s="276">
        <f t="shared" si="11"/>
        <v>15.522682527521889</v>
      </c>
      <c r="AU18" s="276">
        <f t="shared" si="12"/>
        <v>44.38033029698353</v>
      </c>
      <c r="AV18" s="276">
        <f t="shared" si="13"/>
        <v>8.3033173846536528</v>
      </c>
      <c r="AW18" s="276">
        <f t="shared" si="14"/>
        <v>42.876114277136558</v>
      </c>
      <c r="AX18" s="276">
        <f t="shared" si="15"/>
        <v>19.495707505041018</v>
      </c>
      <c r="AY18" s="276">
        <f t="shared" si="16"/>
        <v>45.668162762036026</v>
      </c>
      <c r="AZ18" s="274">
        <f t="shared" si="17"/>
        <v>3.5626360733597537</v>
      </c>
      <c r="BA18" s="274">
        <f t="shared" si="18"/>
        <v>1.2999535342397457E-2</v>
      </c>
      <c r="BB18" s="275">
        <f t="shared" si="19"/>
        <v>80.275484903459301</v>
      </c>
      <c r="BC18" s="277"/>
      <c r="BD18" s="275">
        <f t="shared" si="20"/>
        <v>5.7855299631410162</v>
      </c>
      <c r="BE18" s="210">
        <f t="shared" si="21"/>
        <v>1.4851152618576544</v>
      </c>
      <c r="BF18" s="278">
        <f t="shared" si="22"/>
        <v>1.5463962781854472E-4</v>
      </c>
    </row>
    <row r="19" spans="2:58" s="257" customFormat="1" ht="12.75" x14ac:dyDescent="0.2">
      <c r="B19" s="46">
        <v>9</v>
      </c>
      <c r="C19" s="205" t="s">
        <v>110</v>
      </c>
      <c r="D19" s="205" t="s">
        <v>0</v>
      </c>
      <c r="E19" s="258" t="s">
        <v>288</v>
      </c>
      <c r="F19" s="206">
        <v>2000</v>
      </c>
      <c r="G19" s="214">
        <v>1.4285714285714299</v>
      </c>
      <c r="H19" s="260">
        <v>7.12</v>
      </c>
      <c r="I19" s="261">
        <v>131.40114221936307</v>
      </c>
      <c r="J19" s="262">
        <v>19.07</v>
      </c>
      <c r="K19" s="263">
        <v>21.4</v>
      </c>
      <c r="L19" s="279">
        <v>0.125</v>
      </c>
      <c r="M19" s="214">
        <v>1.2E-2</v>
      </c>
      <c r="N19" s="265">
        <v>2.4460000000000002</v>
      </c>
      <c r="O19" s="265">
        <f t="shared" si="0"/>
        <v>5.1103843008994274E-2</v>
      </c>
      <c r="P19" s="265">
        <f t="shared" si="1"/>
        <v>10.416666666666666</v>
      </c>
      <c r="Q19" s="265">
        <v>1.91856</v>
      </c>
      <c r="R19" s="214">
        <v>0.31007699999999999</v>
      </c>
      <c r="S19" s="265">
        <v>0.12970200000000001</v>
      </c>
      <c r="T19" s="211">
        <v>0</v>
      </c>
      <c r="U19" s="215">
        <v>8.1767200000000002E-3</v>
      </c>
      <c r="V19" s="211">
        <v>0</v>
      </c>
      <c r="W19" s="211">
        <v>0</v>
      </c>
      <c r="X19" s="213">
        <v>2.0442119047810334</v>
      </c>
      <c r="Y19" s="213">
        <v>0.52516739486969399</v>
      </c>
      <c r="Z19" s="213">
        <v>1.828782955276836</v>
      </c>
      <c r="AA19" s="213">
        <v>8.2007914198478374E-2</v>
      </c>
      <c r="AB19" s="213"/>
      <c r="AC19" s="257">
        <v>39</v>
      </c>
      <c r="AD19" s="257">
        <v>36</v>
      </c>
      <c r="AE19" s="257">
        <v>2</v>
      </c>
      <c r="AF19" s="208">
        <v>3.42</v>
      </c>
      <c r="AG19" s="271">
        <f t="shared" si="2"/>
        <v>3.8018939632056113E-4</v>
      </c>
      <c r="AH19" s="271">
        <v>3.1622776601683798E-2</v>
      </c>
      <c r="AI19" s="271">
        <f t="shared" si="3"/>
        <v>1.2022644346174128E-5</v>
      </c>
      <c r="AJ19" s="271">
        <v>5.0118723362727197E-7</v>
      </c>
      <c r="AK19" s="271">
        <f t="shared" si="4"/>
        <v>79.432823472428339</v>
      </c>
      <c r="AL19" s="271">
        <v>5.6234132519034893E-11</v>
      </c>
      <c r="AM19" s="271">
        <f t="shared" si="5"/>
        <v>4.4668359215096409E-9</v>
      </c>
      <c r="AN19" s="272">
        <f t="shared" si="6"/>
        <v>79.432823481362007</v>
      </c>
      <c r="AO19" s="209">
        <f t="shared" si="7"/>
        <v>13.206561722033289</v>
      </c>
      <c r="AP19" s="209">
        <f t="shared" si="8"/>
        <v>8.8210050956164707</v>
      </c>
      <c r="AQ19" s="273"/>
      <c r="AR19" s="274">
        <f t="shared" si="9"/>
        <v>7.5857757502918149E-2</v>
      </c>
      <c r="AS19" s="275">
        <f t="shared" si="10"/>
        <v>95.741304456310189</v>
      </c>
      <c r="AT19" s="275">
        <f t="shared" si="11"/>
        <v>25.508144126357351</v>
      </c>
      <c r="AU19" s="275">
        <f t="shared" si="12"/>
        <v>5.6416702914310575</v>
      </c>
      <c r="AV19" s="276">
        <f t="shared" si="13"/>
        <v>0</v>
      </c>
      <c r="AW19" s="275">
        <f t="shared" si="14"/>
        <v>42.559375099538507</v>
      </c>
      <c r="AX19" s="276">
        <f t="shared" si="15"/>
        <v>8.4695265974434051</v>
      </c>
      <c r="AY19" s="275">
        <f t="shared" si="16"/>
        <v>51.583306216027864</v>
      </c>
      <c r="AZ19" s="274">
        <f t="shared" si="17"/>
        <v>4.3166603957510459</v>
      </c>
      <c r="BA19" s="274">
        <f t="shared" si="18"/>
        <v>3.4872457216661288</v>
      </c>
      <c r="BB19" s="275">
        <f t="shared" si="19"/>
        <v>99.856999976865978</v>
      </c>
      <c r="BC19" s="277"/>
      <c r="BD19" s="275">
        <f t="shared" si="20"/>
        <v>-83.306137375691407</v>
      </c>
      <c r="BE19" s="210">
        <f t="shared" si="21"/>
        <v>-24.702323267043855</v>
      </c>
      <c r="BF19" s="278">
        <f t="shared" si="22"/>
        <v>1.1694792247018116E-4</v>
      </c>
    </row>
    <row r="20" spans="2:58" s="257" customFormat="1" ht="15.75" customHeight="1" x14ac:dyDescent="0.2">
      <c r="B20" s="46">
        <v>5</v>
      </c>
      <c r="C20" s="205" t="s">
        <v>110</v>
      </c>
      <c r="D20" s="205" t="s">
        <v>0</v>
      </c>
      <c r="E20" s="280">
        <v>42296.5</v>
      </c>
      <c r="F20" s="206">
        <v>1000</v>
      </c>
      <c r="G20" s="205">
        <v>0</v>
      </c>
      <c r="H20" s="205">
        <v>6.81</v>
      </c>
      <c r="I20" s="205">
        <v>113</v>
      </c>
      <c r="J20" s="205">
        <v>22.4</v>
      </c>
      <c r="K20" s="259">
        <v>20.8</v>
      </c>
      <c r="L20" s="205">
        <v>0.193</v>
      </c>
      <c r="M20" s="205">
        <v>1.9E-2</v>
      </c>
      <c r="N20" s="281">
        <v>5.47</v>
      </c>
      <c r="O20" s="265">
        <f t="shared" si="0"/>
        <v>3.528336380255942E-2</v>
      </c>
      <c r="P20" s="265">
        <f t="shared" si="1"/>
        <v>10.157894736842106</v>
      </c>
      <c r="Q20" s="257">
        <v>2.1539999999999999</v>
      </c>
      <c r="R20" s="257">
        <v>0.52610000000000001</v>
      </c>
      <c r="S20" s="257">
        <v>1.4730000000000001</v>
      </c>
      <c r="T20" s="265">
        <v>0.41570000000000001</v>
      </c>
      <c r="U20" s="265">
        <v>4.2438843587842845</v>
      </c>
      <c r="V20" s="217">
        <v>0.73244985673352425</v>
      </c>
      <c r="W20" s="265">
        <v>0.20947176684881602</v>
      </c>
      <c r="X20" s="213">
        <v>1.7522138245719154</v>
      </c>
      <c r="Y20" s="213">
        <v>0.45178623296157794</v>
      </c>
      <c r="Z20" s="213">
        <v>1.7256753514023231</v>
      </c>
      <c r="AA20" s="213"/>
      <c r="AB20" s="213"/>
      <c r="AC20" s="205">
        <v>9</v>
      </c>
      <c r="AD20" s="205">
        <v>6</v>
      </c>
      <c r="AE20" s="205">
        <v>2</v>
      </c>
      <c r="AF20" s="208">
        <v>3.42</v>
      </c>
      <c r="AG20" s="271">
        <f t="shared" si="2"/>
        <v>3.8018939632056113E-4</v>
      </c>
      <c r="AH20" s="271">
        <v>3.1622776601683798E-2</v>
      </c>
      <c r="AI20" s="271">
        <f t="shared" si="3"/>
        <v>1.2022644346174128E-5</v>
      </c>
      <c r="AJ20" s="271">
        <v>5.0118723362727197E-7</v>
      </c>
      <c r="AK20" s="271">
        <f t="shared" si="4"/>
        <v>38.904514499428053</v>
      </c>
      <c r="AL20" s="271">
        <v>5.6234132519034893E-11</v>
      </c>
      <c r="AM20" s="271">
        <f t="shared" si="5"/>
        <v>2.1877616239495518E-9</v>
      </c>
      <c r="AN20" s="272">
        <f t="shared" si="6"/>
        <v>38.904514503803576</v>
      </c>
      <c r="AO20" s="209">
        <f t="shared" si="7"/>
        <v>29.221939699359126</v>
      </c>
      <c r="AP20" s="209">
        <f t="shared" si="8"/>
        <v>19.726450479567493</v>
      </c>
      <c r="AQ20" s="273"/>
      <c r="AR20" s="274">
        <f t="shared" si="9"/>
        <v>0.15488166189124805</v>
      </c>
      <c r="AS20" s="275">
        <f t="shared" si="10"/>
        <v>107.49039373222216</v>
      </c>
      <c r="AT20" s="275">
        <f t="shared" si="11"/>
        <v>43.279039157617639</v>
      </c>
      <c r="AU20" s="275">
        <f t="shared" si="12"/>
        <v>64.071335363201413</v>
      </c>
      <c r="AV20" s="276">
        <f t="shared" si="13"/>
        <v>10.631169761137539</v>
      </c>
      <c r="AW20" s="275">
        <f t="shared" si="14"/>
        <v>36.48013458885567</v>
      </c>
      <c r="AX20" s="276">
        <f t="shared" si="15"/>
        <v>7.2860873576819589</v>
      </c>
      <c r="AY20" s="275">
        <f t="shared" si="16"/>
        <v>48.675016258210107</v>
      </c>
      <c r="AZ20" s="274">
        <f t="shared" si="17"/>
        <v>0</v>
      </c>
      <c r="BA20" s="274">
        <f t="shared" si="18"/>
        <v>0.58120762027768813</v>
      </c>
      <c r="BB20" s="275">
        <f t="shared" si="19"/>
        <v>81.534881661891248</v>
      </c>
      <c r="BC20" s="277"/>
      <c r="BD20" s="275">
        <f t="shared" si="20"/>
        <v>51.069492189153323</v>
      </c>
      <c r="BE20" s="210">
        <f t="shared" si="21"/>
        <v>12.761498063128871</v>
      </c>
      <c r="BF20" s="278">
        <f t="shared" si="22"/>
        <v>1.5903402894040886E-4</v>
      </c>
    </row>
    <row r="21" spans="2:58" s="257" customFormat="1" ht="12.75" x14ac:dyDescent="0.2">
      <c r="B21" s="46">
        <v>11</v>
      </c>
      <c r="C21" s="205" t="s">
        <v>111</v>
      </c>
      <c r="D21" s="205" t="s">
        <v>22</v>
      </c>
      <c r="E21" s="258" t="s">
        <v>278</v>
      </c>
      <c r="F21" s="206">
        <v>2000</v>
      </c>
      <c r="G21" s="259"/>
      <c r="H21" s="260">
        <v>7.8</v>
      </c>
      <c r="I21" s="261">
        <v>1532.5389221556889</v>
      </c>
      <c r="J21" s="287">
        <v>213</v>
      </c>
      <c r="K21" s="263">
        <v>20.8</v>
      </c>
      <c r="L21" s="214">
        <v>0.16200000000000001</v>
      </c>
      <c r="M21" s="214">
        <v>1.0999999999999999E-2</v>
      </c>
      <c r="N21" s="264">
        <v>7.7190000000000003</v>
      </c>
      <c r="O21" s="265">
        <f t="shared" si="0"/>
        <v>2.0987174504469491E-2</v>
      </c>
      <c r="P21" s="265">
        <f t="shared" si="1"/>
        <v>14.727272727272728</v>
      </c>
      <c r="Q21" s="266">
        <v>31.452238707786567</v>
      </c>
      <c r="R21" s="266">
        <v>4.730521781645578</v>
      </c>
      <c r="S21" s="266">
        <v>15.826347265975727</v>
      </c>
      <c r="T21" s="266">
        <v>2.4746781104911828</v>
      </c>
      <c r="U21" s="265">
        <v>1.5259451445515197</v>
      </c>
      <c r="V21" s="267">
        <v>2.011818426000537</v>
      </c>
      <c r="W21" s="265">
        <v>0.10630164913174851</v>
      </c>
      <c r="X21" s="267">
        <v>7.1913954320484859</v>
      </c>
      <c r="Y21" s="267">
        <v>0.85435707095312641</v>
      </c>
      <c r="Z21" s="207">
        <v>13.277731486364145</v>
      </c>
      <c r="AA21" s="268">
        <v>6.8291414617115187E-2</v>
      </c>
      <c r="AB21" s="268">
        <v>0.69</v>
      </c>
      <c r="AC21" s="288">
        <v>2.2400000000000002</v>
      </c>
      <c r="AD21" s="289">
        <v>0.13419853651801641</v>
      </c>
      <c r="AE21" s="270">
        <f>AC21-AD21</f>
        <v>2.1058014634819839</v>
      </c>
      <c r="AF21" s="208">
        <v>3.42</v>
      </c>
      <c r="AG21" s="271">
        <f t="shared" si="2"/>
        <v>3.8018939632056113E-4</v>
      </c>
      <c r="AH21" s="271">
        <v>3.1622776601683798E-2</v>
      </c>
      <c r="AI21" s="271">
        <f t="shared" si="3"/>
        <v>1.2022644346174128E-5</v>
      </c>
      <c r="AJ21" s="271">
        <v>5.0118723362727197E-7</v>
      </c>
      <c r="AK21" s="271">
        <f t="shared" si="4"/>
        <v>380.189396320561</v>
      </c>
      <c r="AL21" s="271">
        <v>5.6234132519034893E-11</v>
      </c>
      <c r="AM21" s="271">
        <f t="shared" si="5"/>
        <v>2.1379620895022302E-8</v>
      </c>
      <c r="AN21" s="272">
        <f t="shared" si="6"/>
        <v>380.18939636332027</v>
      </c>
      <c r="AO21" s="209">
        <f t="shared" si="7"/>
        <v>42.18386350946912</v>
      </c>
      <c r="AP21" s="209">
        <f t="shared" si="8"/>
        <v>27.837014854073402</v>
      </c>
      <c r="AQ21" s="273"/>
      <c r="AR21" s="274">
        <f t="shared" si="9"/>
        <v>1.5848931924611134E-2</v>
      </c>
      <c r="AS21" s="275">
        <f t="shared" si="10"/>
        <v>1569.5513103341766</v>
      </c>
      <c r="AT21" s="275">
        <f t="shared" si="11"/>
        <v>389.151183090291</v>
      </c>
      <c r="AU21" s="275">
        <f t="shared" si="12"/>
        <v>688.4013599815454</v>
      </c>
      <c r="AV21" s="276">
        <f t="shared" si="13"/>
        <v>63.287763042585624</v>
      </c>
      <c r="AW21" s="275">
        <f t="shared" si="14"/>
        <v>149.72092421819798</v>
      </c>
      <c r="AX21" s="276">
        <f t="shared" si="15"/>
        <v>13.778463794285559</v>
      </c>
      <c r="AY21" s="275">
        <f t="shared" si="16"/>
        <v>374.51644392192884</v>
      </c>
      <c r="AZ21" s="274">
        <f t="shared" si="17"/>
        <v>3.5946633654655851</v>
      </c>
      <c r="BA21" s="274">
        <f t="shared" si="18"/>
        <v>1.2999535342397457E-2</v>
      </c>
      <c r="BB21" s="275">
        <f t="shared" si="19"/>
        <v>1500.9347710876136</v>
      </c>
      <c r="BC21" s="277"/>
      <c r="BD21" s="275">
        <f t="shared" si="20"/>
        <v>667.84919945768934</v>
      </c>
      <c r="BE21" s="210">
        <f t="shared" si="21"/>
        <v>14.05121006993989</v>
      </c>
      <c r="BF21" s="278">
        <f t="shared" si="22"/>
        <v>1.6260089803402005E-3</v>
      </c>
    </row>
    <row r="22" spans="2:58" s="257" customFormat="1" ht="12.75" x14ac:dyDescent="0.2">
      <c r="B22" s="46">
        <v>10</v>
      </c>
      <c r="C22" s="205" t="s">
        <v>111</v>
      </c>
      <c r="D22" s="205" t="s">
        <v>22</v>
      </c>
      <c r="E22" s="258" t="s">
        <v>289</v>
      </c>
      <c r="F22" s="206">
        <v>2000</v>
      </c>
      <c r="G22" s="214">
        <v>1.4000000000000123</v>
      </c>
      <c r="H22" s="283">
        <v>8.27</v>
      </c>
      <c r="I22" s="261">
        <v>1753.1808087307006</v>
      </c>
      <c r="J22" s="262">
        <v>195</v>
      </c>
      <c r="K22" s="263">
        <v>21.4</v>
      </c>
      <c r="L22" s="279">
        <v>0.156</v>
      </c>
      <c r="M22" s="214">
        <v>1.0999999999999999E-2</v>
      </c>
      <c r="N22" s="265">
        <v>6.157</v>
      </c>
      <c r="O22" s="265">
        <f t="shared" si="0"/>
        <v>2.5337014779925289E-2</v>
      </c>
      <c r="P22" s="265">
        <f t="shared" si="1"/>
        <v>14.181818181818183</v>
      </c>
      <c r="Q22" s="265">
        <v>23.033000000000001</v>
      </c>
      <c r="R22" s="214">
        <v>3.7503299999999999</v>
      </c>
      <c r="S22" s="265">
        <v>13.007199999999999</v>
      </c>
      <c r="T22" s="265">
        <v>1.17825</v>
      </c>
      <c r="U22" s="215">
        <v>0</v>
      </c>
      <c r="V22" s="211">
        <v>0</v>
      </c>
      <c r="W22" s="211">
        <v>0</v>
      </c>
      <c r="X22" s="213">
        <v>8.0901061291385137</v>
      </c>
      <c r="Y22" s="216">
        <v>0.2</v>
      </c>
      <c r="Z22" s="213">
        <f>1.44364017998631*10</f>
        <v>14.436401799863098</v>
      </c>
      <c r="AA22" s="213">
        <v>8.110153478837441E-2</v>
      </c>
      <c r="AB22" s="213">
        <v>0.42801908918245646</v>
      </c>
      <c r="AC22" s="257">
        <v>45</v>
      </c>
      <c r="AD22" s="257">
        <v>43</v>
      </c>
      <c r="AE22" s="257">
        <v>2</v>
      </c>
      <c r="AF22" s="208">
        <v>3.42</v>
      </c>
      <c r="AG22" s="271">
        <f t="shared" si="2"/>
        <v>3.8018939632056113E-4</v>
      </c>
      <c r="AH22" s="271">
        <v>3.1622776601683798E-2</v>
      </c>
      <c r="AI22" s="271">
        <f t="shared" si="3"/>
        <v>1.2022644346174128E-5</v>
      </c>
      <c r="AJ22" s="271">
        <v>5.0118723362727197E-7</v>
      </c>
      <c r="AK22" s="271">
        <f t="shared" si="4"/>
        <v>1122.0184543019618</v>
      </c>
      <c r="AL22" s="271">
        <v>5.6234132519034893E-11</v>
      </c>
      <c r="AM22" s="271">
        <f t="shared" si="5"/>
        <v>6.3095734448019204E-8</v>
      </c>
      <c r="AN22" s="272">
        <f t="shared" si="6"/>
        <v>1122.0184544281533</v>
      </c>
      <c r="AO22" s="209">
        <f t="shared" si="7"/>
        <v>33.764839890150554</v>
      </c>
      <c r="AP22" s="209">
        <f t="shared" si="8"/>
        <v>22.203977258262718</v>
      </c>
      <c r="AQ22" s="273"/>
      <c r="AR22" s="274">
        <f t="shared" si="9"/>
        <v>5.3703179637025322E-3</v>
      </c>
      <c r="AS22" s="275">
        <f t="shared" si="10"/>
        <v>1149.4086531264034</v>
      </c>
      <c r="AT22" s="275">
        <f t="shared" si="11"/>
        <v>308.51678183613029</v>
      </c>
      <c r="AU22" s="275">
        <f t="shared" si="12"/>
        <v>565.77642453240537</v>
      </c>
      <c r="AV22" s="276">
        <f t="shared" si="13"/>
        <v>30.132729783642784</v>
      </c>
      <c r="AW22" s="275">
        <f t="shared" si="14"/>
        <v>168.43158996374322</v>
      </c>
      <c r="AX22" s="276">
        <f t="shared" si="15"/>
        <v>3.2254578940662864</v>
      </c>
      <c r="AY22" s="275">
        <f t="shared" si="16"/>
        <v>407.19831325594726</v>
      </c>
      <c r="AZ22" s="274">
        <f t="shared" si="17"/>
        <v>4.268951194250679</v>
      </c>
      <c r="BA22" s="274">
        <f t="shared" si="18"/>
        <v>4.1653212786567648</v>
      </c>
      <c r="BB22" s="275">
        <f t="shared" si="19"/>
        <v>1721.5661790486645</v>
      </c>
      <c r="BC22" s="277"/>
      <c r="BD22" s="275">
        <f t="shared" si="20"/>
        <v>-255.01585303878301</v>
      </c>
      <c r="BE22" s="210">
        <f t="shared" si="21"/>
        <v>-5.8453732818578272</v>
      </c>
      <c r="BF22" s="278">
        <f t="shared" si="22"/>
        <v>1.3184821359522765E-3</v>
      </c>
    </row>
    <row r="23" spans="2:58" s="257" customFormat="1" ht="15.75" customHeight="1" x14ac:dyDescent="0.2">
      <c r="B23" s="46">
        <v>4</v>
      </c>
      <c r="C23" s="205" t="s">
        <v>111</v>
      </c>
      <c r="D23" s="205" t="s">
        <v>22</v>
      </c>
      <c r="E23" s="280">
        <v>42295.5</v>
      </c>
      <c r="F23" s="206">
        <v>1000</v>
      </c>
      <c r="G23" s="205">
        <v>1.19</v>
      </c>
      <c r="H23" s="205">
        <v>7.83</v>
      </c>
      <c r="I23" s="205">
        <v>1780</v>
      </c>
      <c r="J23" s="205">
        <v>216</v>
      </c>
      <c r="K23" s="259">
        <v>20.8</v>
      </c>
      <c r="L23" s="205">
        <v>0.188</v>
      </c>
      <c r="M23" s="205">
        <v>1.2E-2</v>
      </c>
      <c r="N23" s="281">
        <v>8.85</v>
      </c>
      <c r="O23" s="265">
        <f t="shared" si="0"/>
        <v>2.1242937853107345E-2</v>
      </c>
      <c r="P23" s="265">
        <f t="shared" si="1"/>
        <v>15.666666666666666</v>
      </c>
      <c r="Q23" s="257">
        <v>22.724</v>
      </c>
      <c r="R23" s="257">
        <v>3.4950000000000001</v>
      </c>
      <c r="S23" s="257">
        <v>9.702</v>
      </c>
      <c r="T23" s="265">
        <v>1.7110000000000001</v>
      </c>
      <c r="U23" s="265">
        <v>0.95997034840622675</v>
      </c>
      <c r="V23" s="217">
        <v>0.45845272206303722</v>
      </c>
      <c r="W23" s="265">
        <v>0.19125683060109291</v>
      </c>
      <c r="X23" s="213">
        <v>7.3425950311967636</v>
      </c>
      <c r="Y23" s="218">
        <v>0.05</v>
      </c>
      <c r="Z23" s="213">
        <v>11.945445353825059</v>
      </c>
      <c r="AA23" s="213"/>
      <c r="AB23" s="213"/>
      <c r="AC23" s="205">
        <v>20</v>
      </c>
      <c r="AD23" s="205">
        <v>7</v>
      </c>
      <c r="AE23" s="205">
        <v>3</v>
      </c>
      <c r="AF23" s="208">
        <v>3.42</v>
      </c>
      <c r="AG23" s="271">
        <f t="shared" si="2"/>
        <v>3.8018939632056113E-4</v>
      </c>
      <c r="AH23" s="271">
        <v>3.1622776601683798E-2</v>
      </c>
      <c r="AI23" s="271">
        <f t="shared" si="3"/>
        <v>1.2022644346174128E-5</v>
      </c>
      <c r="AJ23" s="271">
        <v>5.0118723362727197E-7</v>
      </c>
      <c r="AK23" s="271">
        <f t="shared" si="4"/>
        <v>407.3802778041138</v>
      </c>
      <c r="AL23" s="271">
        <v>5.6234132519034893E-11</v>
      </c>
      <c r="AM23" s="271">
        <f t="shared" si="5"/>
        <v>2.2908676527677779E-8</v>
      </c>
      <c r="AN23" s="272">
        <f t="shared" si="6"/>
        <v>407.38027784993113</v>
      </c>
      <c r="AO23" s="209">
        <f t="shared" si="7"/>
        <v>48.379461591114882</v>
      </c>
      <c r="AP23" s="209">
        <f t="shared" si="8"/>
        <v>31.915737978824918</v>
      </c>
      <c r="AQ23" s="273"/>
      <c r="AR23" s="274">
        <f t="shared" si="9"/>
        <v>1.4791083881682026E-2</v>
      </c>
      <c r="AS23" s="275">
        <f t="shared" si="10"/>
        <v>1133.9887219921152</v>
      </c>
      <c r="AT23" s="275">
        <f t="shared" si="11"/>
        <v>287.5123395853899</v>
      </c>
      <c r="AU23" s="275">
        <f t="shared" si="12"/>
        <v>422.00956937799043</v>
      </c>
      <c r="AV23" s="276">
        <f t="shared" si="13"/>
        <v>43.757352565086194</v>
      </c>
      <c r="AW23" s="275">
        <f t="shared" si="14"/>
        <v>152.86881727175142</v>
      </c>
      <c r="AX23" s="276">
        <f t="shared" si="15"/>
        <v>0.80636447351657159</v>
      </c>
      <c r="AY23" s="275">
        <f t="shared" si="16"/>
        <v>336.93750469142407</v>
      </c>
      <c r="AZ23" s="274">
        <f t="shared" si="17"/>
        <v>0</v>
      </c>
      <c r="BA23" s="274">
        <f t="shared" si="18"/>
        <v>0.67807555699063615</v>
      </c>
      <c r="BB23" s="275">
        <f t="shared" si="19"/>
        <v>1748.3947910838817</v>
      </c>
      <c r="BC23" s="277"/>
      <c r="BD23" s="275">
        <f t="shared" si="20"/>
        <v>-352.40277847310085</v>
      </c>
      <c r="BE23" s="210">
        <f t="shared" si="21"/>
        <v>-8.5390230913410718</v>
      </c>
      <c r="BF23" s="278">
        <f t="shared" si="22"/>
        <v>1.1889477305205777E-3</v>
      </c>
    </row>
    <row r="24" spans="2:58" s="257" customFormat="1" ht="12.75" x14ac:dyDescent="0.2">
      <c r="B24" s="46">
        <v>2</v>
      </c>
      <c r="C24" s="205" t="s">
        <v>125</v>
      </c>
      <c r="D24" s="205" t="s">
        <v>280</v>
      </c>
      <c r="E24" s="258" t="s">
        <v>281</v>
      </c>
      <c r="F24" s="206">
        <v>2000</v>
      </c>
      <c r="G24" s="214">
        <v>0.3999999999999837</v>
      </c>
      <c r="H24" s="260">
        <v>6.38</v>
      </c>
      <c r="I24" s="261">
        <v>264.67527369287109</v>
      </c>
      <c r="J24" s="262">
        <v>38.5</v>
      </c>
      <c r="K24" s="263">
        <v>22</v>
      </c>
      <c r="L24" s="279">
        <v>0.46600000000000003</v>
      </c>
      <c r="M24" s="214">
        <v>6.6000000000000003E-2</v>
      </c>
      <c r="N24" s="265">
        <v>7.3609999999999998</v>
      </c>
      <c r="O24" s="265">
        <f t="shared" si="0"/>
        <v>6.3306615948919995E-2</v>
      </c>
      <c r="P24" s="265">
        <f t="shared" si="1"/>
        <v>7.0606060606060606</v>
      </c>
      <c r="Q24" s="265">
        <v>5.0433599999999998</v>
      </c>
      <c r="R24" s="214">
        <v>1.0089399999999999</v>
      </c>
      <c r="S24" s="265">
        <v>1.54969</v>
      </c>
      <c r="T24" s="211">
        <v>0</v>
      </c>
      <c r="U24" s="212">
        <v>0.113709</v>
      </c>
      <c r="V24" s="265">
        <v>0.59635400000000005</v>
      </c>
      <c r="W24" s="265">
        <v>9.0395699999999995E-2</v>
      </c>
      <c r="X24" s="213">
        <v>4.8082252090848474</v>
      </c>
      <c r="Y24" s="213">
        <v>0.42138925808935418</v>
      </c>
      <c r="Z24" s="213">
        <v>3.3725376931995048</v>
      </c>
      <c r="AA24" s="213">
        <v>0.10160235724180765</v>
      </c>
      <c r="AB24" s="213"/>
      <c r="AC24" s="257">
        <v>48</v>
      </c>
      <c r="AD24" s="257">
        <v>36</v>
      </c>
      <c r="AE24" s="257">
        <v>5</v>
      </c>
      <c r="AF24" s="208">
        <v>3.42</v>
      </c>
      <c r="AG24" s="271">
        <f t="shared" si="2"/>
        <v>3.8018939632056113E-4</v>
      </c>
      <c r="AH24" s="271">
        <v>3.1622776601683798E-2</v>
      </c>
      <c r="AI24" s="271">
        <f t="shared" si="3"/>
        <v>1.2022644346174128E-5</v>
      </c>
      <c r="AJ24" s="271">
        <v>5.0118723362727197E-7</v>
      </c>
      <c r="AK24" s="271">
        <f t="shared" si="4"/>
        <v>14.454397707459281</v>
      </c>
      <c r="AL24" s="271">
        <v>5.6234132519034893E-11</v>
      </c>
      <c r="AM24" s="271">
        <f t="shared" si="5"/>
        <v>8.1283051616409944E-10</v>
      </c>
      <c r="AN24" s="272">
        <f t="shared" si="6"/>
        <v>14.454397709084942</v>
      </c>
      <c r="AO24" s="209">
        <f t="shared" si="7"/>
        <v>38.40159615439196</v>
      </c>
      <c r="AP24" s="209">
        <f t="shared" si="8"/>
        <v>26.545960142613588</v>
      </c>
      <c r="AQ24" s="273"/>
      <c r="AR24" s="274">
        <f t="shared" si="9"/>
        <v>0.41686938347033492</v>
      </c>
      <c r="AS24" s="275">
        <f t="shared" si="10"/>
        <v>251.67722940266481</v>
      </c>
      <c r="AT24" s="275">
        <f t="shared" si="11"/>
        <v>82.999341888779199</v>
      </c>
      <c r="AU24" s="275">
        <f t="shared" si="12"/>
        <v>67.407133536320146</v>
      </c>
      <c r="AV24" s="276">
        <f t="shared" si="13"/>
        <v>0</v>
      </c>
      <c r="AW24" s="275">
        <f t="shared" si="14"/>
        <v>100.10462210786241</v>
      </c>
      <c r="AX24" s="276">
        <f t="shared" si="15"/>
        <v>6.7958665448952162</v>
      </c>
      <c r="AY24" s="275">
        <f t="shared" si="16"/>
        <v>95.127004575057242</v>
      </c>
      <c r="AZ24" s="274">
        <f t="shared" si="17"/>
        <v>5.3480554396150985</v>
      </c>
      <c r="BA24" s="274">
        <f t="shared" si="18"/>
        <v>3.4872457216661288</v>
      </c>
      <c r="BB24" s="275">
        <f t="shared" si="19"/>
        <v>233.47214307634141</v>
      </c>
      <c r="BC24" s="277"/>
      <c r="BD24" s="275">
        <f t="shared" si="20"/>
        <v>-41.834363254203026</v>
      </c>
      <c r="BE24" s="210">
        <f t="shared" si="21"/>
        <v>-4.940081359055676</v>
      </c>
      <c r="BF24" s="278">
        <f t="shared" si="22"/>
        <v>3.0493806143933223E-4</v>
      </c>
    </row>
    <row r="25" spans="2:58" s="257" customFormat="1" ht="12.75" x14ac:dyDescent="0.2">
      <c r="B25" s="46">
        <v>1</v>
      </c>
      <c r="C25" s="205" t="s">
        <v>124</v>
      </c>
      <c r="D25" s="205" t="s">
        <v>22</v>
      </c>
      <c r="E25" s="258" t="s">
        <v>279</v>
      </c>
      <c r="F25" s="206">
        <v>2000</v>
      </c>
      <c r="G25" s="214" t="e">
        <v>#N/A</v>
      </c>
      <c r="H25" s="260">
        <v>6.6</v>
      </c>
      <c r="I25" s="261">
        <v>330.52588198335229</v>
      </c>
      <c r="J25" s="262">
        <v>26</v>
      </c>
      <c r="K25" s="263">
        <v>22.3</v>
      </c>
      <c r="L25" s="279">
        <v>0.56000000000000005</v>
      </c>
      <c r="M25" s="214">
        <v>7.1999999999999995E-2</v>
      </c>
      <c r="N25" s="265">
        <v>10.220000000000001</v>
      </c>
      <c r="O25" s="265">
        <f t="shared" si="0"/>
        <v>5.4794520547945209E-2</v>
      </c>
      <c r="P25" s="265">
        <f t="shared" si="1"/>
        <v>7.7777777777777795</v>
      </c>
      <c r="Q25" s="265">
        <v>2.8795099999999998</v>
      </c>
      <c r="R25" s="214">
        <v>0.65432999999999997</v>
      </c>
      <c r="S25" s="265">
        <v>1.0488500000000001</v>
      </c>
      <c r="T25" s="211">
        <v>0</v>
      </c>
      <c r="U25" s="212">
        <v>0.230632</v>
      </c>
      <c r="V25" s="265">
        <v>0.13939699999999999</v>
      </c>
      <c r="W25" s="265">
        <v>2.5004799999999998E-3</v>
      </c>
      <c r="X25" s="213">
        <v>2.3766628371267204</v>
      </c>
      <c r="Y25" s="213">
        <v>0.31458493518452096</v>
      </c>
      <c r="Z25" s="213">
        <v>3.1885976702667227</v>
      </c>
      <c r="AA25" s="213">
        <v>7.75555565655799E-2</v>
      </c>
      <c r="AB25" s="213"/>
      <c r="AC25" s="257">
        <v>48</v>
      </c>
      <c r="AD25" s="257">
        <v>40</v>
      </c>
      <c r="AE25" s="257">
        <v>5</v>
      </c>
      <c r="AF25" s="208">
        <v>3.42</v>
      </c>
      <c r="AG25" s="271">
        <f t="shared" si="2"/>
        <v>3.8018939632056113E-4</v>
      </c>
      <c r="AH25" s="271">
        <v>3.1622776601683798E-2</v>
      </c>
      <c r="AI25" s="271">
        <f t="shared" si="3"/>
        <v>1.2022644346174128E-5</v>
      </c>
      <c r="AJ25" s="271">
        <v>5.0118723362727197E-7</v>
      </c>
      <c r="AK25" s="271">
        <f t="shared" si="4"/>
        <v>23.988329190194907</v>
      </c>
      <c r="AL25" s="271">
        <v>5.6234132519034893E-11</v>
      </c>
      <c r="AM25" s="271">
        <f t="shared" si="5"/>
        <v>1.3489628825916535E-9</v>
      </c>
      <c r="AN25" s="272">
        <f t="shared" si="6"/>
        <v>23.988329192892834</v>
      </c>
      <c r="AO25" s="209">
        <f t="shared" si="7"/>
        <v>54.052380658592611</v>
      </c>
      <c r="AP25" s="209">
        <f t="shared" si="8"/>
        <v>36.856366343908554</v>
      </c>
      <c r="AQ25" s="273"/>
      <c r="AR25" s="274">
        <f t="shared" si="9"/>
        <v>0.25118864315095779</v>
      </c>
      <c r="AS25" s="275">
        <f t="shared" si="10"/>
        <v>143.6952941763561</v>
      </c>
      <c r="AT25" s="275">
        <f t="shared" si="11"/>
        <v>53.827739387956562</v>
      </c>
      <c r="AU25" s="275">
        <f t="shared" si="12"/>
        <v>45.622009569377994</v>
      </c>
      <c r="AV25" s="276">
        <f t="shared" si="13"/>
        <v>0</v>
      </c>
      <c r="AW25" s="275">
        <f t="shared" si="14"/>
        <v>49.480821892211871</v>
      </c>
      <c r="AX25" s="276">
        <f t="shared" si="15"/>
        <v>5.0734023127262207</v>
      </c>
      <c r="AY25" s="275">
        <f t="shared" si="16"/>
        <v>89.938726490472519</v>
      </c>
      <c r="AZ25" s="274">
        <f t="shared" si="17"/>
        <v>4.0823011140951619</v>
      </c>
      <c r="BA25" s="274">
        <f t="shared" si="18"/>
        <v>3.8747174685179204</v>
      </c>
      <c r="BB25" s="275">
        <f t="shared" si="19"/>
        <v>299.15707062650324</v>
      </c>
      <c r="BC25" s="277"/>
      <c r="BD25" s="275">
        <f t="shared" si="20"/>
        <v>-208.21080812768537</v>
      </c>
      <c r="BE25" s="210">
        <f t="shared" si="21"/>
        <v>-29.958248631546269</v>
      </c>
      <c r="BF25" s="278">
        <f t="shared" si="22"/>
        <v>1.9598574179317368E-4</v>
      </c>
    </row>
    <row r="26" spans="2:58" s="257" customFormat="1" ht="12.75" x14ac:dyDescent="0.2">
      <c r="B26" s="46">
        <v>11</v>
      </c>
      <c r="C26" s="205" t="s">
        <v>147</v>
      </c>
      <c r="D26" s="205" t="s">
        <v>22</v>
      </c>
      <c r="E26" s="280">
        <v>42302.5</v>
      </c>
      <c r="F26" s="206">
        <v>1000</v>
      </c>
      <c r="G26" s="205">
        <v>0</v>
      </c>
      <c r="H26" s="205">
        <v>5.56</v>
      </c>
      <c r="I26" s="205">
        <v>130</v>
      </c>
      <c r="J26" s="205">
        <v>31.5</v>
      </c>
      <c r="K26" s="259">
        <v>21.3</v>
      </c>
      <c r="L26" s="205">
        <v>0.82799999999999996</v>
      </c>
      <c r="M26" s="205">
        <v>0.114</v>
      </c>
      <c r="N26" s="281">
        <v>18.75</v>
      </c>
      <c r="O26" s="265">
        <f t="shared" si="0"/>
        <v>4.4159999999999998E-2</v>
      </c>
      <c r="P26" s="265">
        <f t="shared" si="1"/>
        <v>7.2631578947368416</v>
      </c>
      <c r="Q26" s="257">
        <v>3.069</v>
      </c>
      <c r="R26" s="257">
        <v>0.6643</v>
      </c>
      <c r="S26" s="257">
        <v>1.8480000000000001</v>
      </c>
      <c r="T26" s="265">
        <v>0.40989999999999999</v>
      </c>
      <c r="U26" s="265">
        <v>14.240177909562638</v>
      </c>
      <c r="V26" s="217">
        <v>6.6010028653295123</v>
      </c>
      <c r="W26" s="265">
        <v>0.51001821493624777</v>
      </c>
      <c r="X26" s="213">
        <v>2.6789276701886631</v>
      </c>
      <c r="Y26" s="213">
        <v>0.14449412034733325</v>
      </c>
      <c r="Z26" s="213">
        <v>2.3677130403632041</v>
      </c>
      <c r="AA26" s="213"/>
      <c r="AB26" s="213"/>
      <c r="AC26" s="205">
        <v>22</v>
      </c>
      <c r="AD26" s="205">
        <v>10</v>
      </c>
      <c r="AE26" s="205">
        <v>3</v>
      </c>
      <c r="AF26" s="208">
        <v>3.42</v>
      </c>
      <c r="AG26" s="271">
        <f t="shared" si="2"/>
        <v>3.8018939632056113E-4</v>
      </c>
      <c r="AH26" s="271">
        <v>3.1622776601683798E-2</v>
      </c>
      <c r="AI26" s="271">
        <f t="shared" si="3"/>
        <v>1.2022644346174128E-5</v>
      </c>
      <c r="AJ26" s="271">
        <v>5.0118723362727197E-7</v>
      </c>
      <c r="AK26" s="271">
        <f t="shared" si="4"/>
        <v>2.1877616239495512</v>
      </c>
      <c r="AL26" s="271">
        <v>5.6234132519034893E-11</v>
      </c>
      <c r="AM26" s="271">
        <f t="shared" si="5"/>
        <v>1.2302687708123804E-10</v>
      </c>
      <c r="AN26" s="272">
        <f t="shared" si="6"/>
        <v>2.187761624195605</v>
      </c>
      <c r="AO26" s="209">
        <f t="shared" si="7"/>
        <v>89.062445574212532</v>
      </c>
      <c r="AP26" s="209">
        <f t="shared" si="8"/>
        <v>67.618088938188393</v>
      </c>
      <c r="AQ26" s="273"/>
      <c r="AR26" s="274">
        <f t="shared" si="9"/>
        <v>2.7542287033381663</v>
      </c>
      <c r="AS26" s="275">
        <f t="shared" si="10"/>
        <v>153.15135485802682</v>
      </c>
      <c r="AT26" s="275">
        <f t="shared" si="11"/>
        <v>54.647910496873969</v>
      </c>
      <c r="AU26" s="275">
        <f t="shared" si="12"/>
        <v>80.382775119617236</v>
      </c>
      <c r="AV26" s="276">
        <f t="shared" si="13"/>
        <v>10.482839752442331</v>
      </c>
      <c r="AW26" s="275">
        <f t="shared" si="14"/>
        <v>55.773810588538126</v>
      </c>
      <c r="AX26" s="276">
        <f t="shared" si="15"/>
        <v>2.3302985056023502</v>
      </c>
      <c r="AY26" s="275">
        <f t="shared" si="16"/>
        <v>66.784560978286862</v>
      </c>
      <c r="AZ26" s="274">
        <f t="shared" si="17"/>
        <v>0</v>
      </c>
      <c r="BA26" s="274">
        <f t="shared" si="18"/>
        <v>0.96867936712948011</v>
      </c>
      <c r="BB26" s="275">
        <f t="shared" si="19"/>
        <v>101.13422870333817</v>
      </c>
      <c r="BC26" s="277"/>
      <c r="BD26" s="275">
        <f t="shared" si="20"/>
        <v>74.427530787403498</v>
      </c>
      <c r="BE26" s="210">
        <f t="shared" si="21"/>
        <v>14.085167580475918</v>
      </c>
      <c r="BF26" s="278">
        <f t="shared" si="22"/>
        <v>2.1315388950136292E-4</v>
      </c>
    </row>
    <row r="27" spans="2:58" s="257" customFormat="1" ht="12.75" customHeight="1" x14ac:dyDescent="0.2">
      <c r="B27" s="46">
        <v>7</v>
      </c>
      <c r="C27" s="205" t="s">
        <v>107</v>
      </c>
      <c r="D27" s="205" t="s">
        <v>22</v>
      </c>
      <c r="E27" s="258" t="s">
        <v>276</v>
      </c>
      <c r="F27" s="206">
        <v>1000</v>
      </c>
      <c r="G27" s="259"/>
      <c r="H27" s="260">
        <v>6.25</v>
      </c>
      <c r="I27" s="261">
        <v>221.78162075206114</v>
      </c>
      <c r="J27" s="262">
        <v>58.1</v>
      </c>
      <c r="K27" s="263">
        <v>20.6</v>
      </c>
      <c r="L27" s="214">
        <v>0.33700000000000002</v>
      </c>
      <c r="M27" s="214">
        <v>4.3999999999999997E-2</v>
      </c>
      <c r="N27" s="264">
        <v>7.5890000000000004</v>
      </c>
      <c r="O27" s="265">
        <f t="shared" si="0"/>
        <v>4.4406377651864538E-2</v>
      </c>
      <c r="P27" s="265">
        <f t="shared" si="1"/>
        <v>7.6590909090909101</v>
      </c>
      <c r="Q27" s="266">
        <v>5.448273939247569</v>
      </c>
      <c r="R27" s="266">
        <v>0.78639222705961187</v>
      </c>
      <c r="S27" s="266">
        <v>7.6582421359832109</v>
      </c>
      <c r="T27" s="266">
        <v>0.79467869249980483</v>
      </c>
      <c r="U27" s="265">
        <v>7.6189770200148255</v>
      </c>
      <c r="V27" s="267">
        <v>8.7200286507296987</v>
      </c>
      <c r="W27" s="265">
        <v>0.76103971749972699</v>
      </c>
      <c r="X27" s="267">
        <v>2.6692223022218862</v>
      </c>
      <c r="Y27" s="267">
        <v>0.76715560702184615</v>
      </c>
      <c r="Z27" s="207">
        <v>10.959552036459437</v>
      </c>
      <c r="AA27" s="268">
        <v>6.2677259215906833E-2</v>
      </c>
      <c r="AB27" s="268"/>
      <c r="AC27" s="288">
        <v>6.1</v>
      </c>
      <c r="AD27" s="288">
        <v>0.6516636752726761</v>
      </c>
      <c r="AE27" s="270">
        <f>AC27-AD27</f>
        <v>5.4483363247273235</v>
      </c>
      <c r="AF27" s="208">
        <v>3.42</v>
      </c>
      <c r="AG27" s="271">
        <f t="shared" si="2"/>
        <v>3.8018939632056113E-4</v>
      </c>
      <c r="AH27" s="271">
        <v>3.1622776601683798E-2</v>
      </c>
      <c r="AI27" s="271">
        <f t="shared" si="3"/>
        <v>1.2022644346174128E-5</v>
      </c>
      <c r="AJ27" s="271">
        <v>5.0118723362727197E-7</v>
      </c>
      <c r="AK27" s="271">
        <f t="shared" si="4"/>
        <v>10.715193052376064</v>
      </c>
      <c r="AL27" s="271">
        <v>5.6234132519034893E-11</v>
      </c>
      <c r="AM27" s="271">
        <f t="shared" si="5"/>
        <v>6.0255958607435753E-10</v>
      </c>
      <c r="AN27" s="272">
        <f t="shared" si="6"/>
        <v>10.715193053581183</v>
      </c>
      <c r="AO27" s="209">
        <f t="shared" si="7"/>
        <v>39.199448857942386</v>
      </c>
      <c r="AP27" s="209">
        <f t="shared" si="8"/>
        <v>27.368196104101958</v>
      </c>
      <c r="AQ27" s="273"/>
      <c r="AR27" s="274">
        <f t="shared" si="9"/>
        <v>0.56234132519034874</v>
      </c>
      <c r="AS27" s="275">
        <f t="shared" si="10"/>
        <v>271.88352409040209</v>
      </c>
      <c r="AT27" s="276">
        <f t="shared" si="11"/>
        <v>64.691693571866722</v>
      </c>
      <c r="AU27" s="275">
        <f t="shared" si="12"/>
        <v>333.11188064302786</v>
      </c>
      <c r="AV27" s="276">
        <f t="shared" si="13"/>
        <v>20.323223684205537</v>
      </c>
      <c r="AW27" s="276">
        <f t="shared" si="14"/>
        <v>55.571750129536277</v>
      </c>
      <c r="AX27" s="276">
        <f t="shared" si="15"/>
        <v>12.372140543229138</v>
      </c>
      <c r="AY27" s="275">
        <f t="shared" si="16"/>
        <v>309.12904511492502</v>
      </c>
      <c r="AZ27" s="274">
        <f t="shared" si="17"/>
        <v>3.2991503956156878</v>
      </c>
      <c r="BA27" s="274">
        <f t="shared" si="18"/>
        <v>6.3125315654440697E-2</v>
      </c>
      <c r="BB27" s="275">
        <f t="shared" si="19"/>
        <v>190.72396207725149</v>
      </c>
      <c r="BC27" s="277"/>
      <c r="BD27" s="275">
        <f t="shared" si="20"/>
        <v>119.41348973848062</v>
      </c>
      <c r="BE27" s="210">
        <f t="shared" si="21"/>
        <v>9.4642527236796425</v>
      </c>
      <c r="BF27" s="278">
        <f t="shared" si="22"/>
        <v>5.3547237474899925E-4</v>
      </c>
    </row>
    <row r="28" spans="2:58" s="257" customFormat="1" ht="12.75" customHeight="1" x14ac:dyDescent="0.2">
      <c r="B28" s="46">
        <v>3</v>
      </c>
      <c r="C28" s="205" t="s">
        <v>107</v>
      </c>
      <c r="D28" s="205" t="s">
        <v>22</v>
      </c>
      <c r="E28" s="258" t="s">
        <v>282</v>
      </c>
      <c r="F28" s="206">
        <v>2000</v>
      </c>
      <c r="G28" s="214">
        <v>1.2666666666667308</v>
      </c>
      <c r="H28" s="260">
        <v>6.39</v>
      </c>
      <c r="I28" s="261">
        <v>993.45085628345578</v>
      </c>
      <c r="J28" s="262">
        <v>67.3</v>
      </c>
      <c r="K28" s="263">
        <v>20.2</v>
      </c>
      <c r="L28" s="279">
        <v>0.254</v>
      </c>
      <c r="M28" s="214">
        <v>3.3000000000000002E-2</v>
      </c>
      <c r="N28" s="265">
        <v>4.9409999999999998</v>
      </c>
      <c r="O28" s="265">
        <f t="shared" si="0"/>
        <v>5.1406597854685286E-2</v>
      </c>
      <c r="P28" s="265">
        <f t="shared" si="1"/>
        <v>7.6969696969696964</v>
      </c>
      <c r="Q28" s="265">
        <v>4.9141500000000002</v>
      </c>
      <c r="R28" s="214">
        <v>0.90431899999999998</v>
      </c>
      <c r="S28" s="265">
        <v>7.53207</v>
      </c>
      <c r="T28" s="211">
        <v>0</v>
      </c>
      <c r="U28" s="212">
        <v>1.4E-2</v>
      </c>
      <c r="V28" s="265">
        <v>0.13872200000000001</v>
      </c>
      <c r="W28" s="211">
        <v>0</v>
      </c>
      <c r="X28" s="213">
        <v>2.6706694732106273</v>
      </c>
      <c r="Y28" s="213">
        <v>0.32974450479239326</v>
      </c>
      <c r="Z28" s="213">
        <f>1.32598161986264*10</f>
        <v>13.2598161986264</v>
      </c>
      <c r="AA28" s="213">
        <v>8.4577222363038398E-2</v>
      </c>
      <c r="AB28" s="213"/>
      <c r="AC28" s="257">
        <v>54</v>
      </c>
      <c r="AD28" s="257">
        <v>41</v>
      </c>
      <c r="AE28" s="257">
        <v>4</v>
      </c>
      <c r="AF28" s="208">
        <v>3.42</v>
      </c>
      <c r="AG28" s="271">
        <f t="shared" si="2"/>
        <v>3.8018939632056113E-4</v>
      </c>
      <c r="AH28" s="271">
        <v>3.1622776601683798E-2</v>
      </c>
      <c r="AI28" s="271">
        <f t="shared" si="3"/>
        <v>1.2022644346174128E-5</v>
      </c>
      <c r="AJ28" s="271">
        <v>5.0118723362727197E-7</v>
      </c>
      <c r="AK28" s="271">
        <f t="shared" si="4"/>
        <v>14.791083881682081</v>
      </c>
      <c r="AL28" s="271">
        <v>5.6234132519034893E-11</v>
      </c>
      <c r="AM28" s="271">
        <f t="shared" si="5"/>
        <v>8.3176377110267112E-10</v>
      </c>
      <c r="AN28" s="272">
        <f t="shared" si="6"/>
        <v>14.791083883345609</v>
      </c>
      <c r="AO28" s="209">
        <f t="shared" si="7"/>
        <v>25.794857515168601</v>
      </c>
      <c r="AP28" s="209">
        <f t="shared" si="8"/>
        <v>17.818718796991405</v>
      </c>
      <c r="AQ28" s="273"/>
      <c r="AR28" s="274">
        <f t="shared" si="9"/>
        <v>0.40738027780411229</v>
      </c>
      <c r="AS28" s="275">
        <f t="shared" si="10"/>
        <v>245.22930285942414</v>
      </c>
      <c r="AT28" s="275">
        <f t="shared" si="11"/>
        <v>74.392810134912793</v>
      </c>
      <c r="AU28" s="275">
        <f t="shared" si="12"/>
        <v>327.62374945628534</v>
      </c>
      <c r="AV28" s="276">
        <f t="shared" si="13"/>
        <v>0</v>
      </c>
      <c r="AW28" s="275">
        <f t="shared" si="14"/>
        <v>55.60187943892879</v>
      </c>
      <c r="AX28" s="276">
        <f t="shared" si="15"/>
        <v>5.3178850800380157</v>
      </c>
      <c r="AY28" s="275">
        <f t="shared" si="16"/>
        <v>374.0111189074662</v>
      </c>
      <c r="AZ28" s="274">
        <f t="shared" si="17"/>
        <v>4.4519013771469833</v>
      </c>
      <c r="BA28" s="274">
        <f t="shared" si="18"/>
        <v>3.971585405230869</v>
      </c>
      <c r="BB28" s="275">
        <f t="shared" si="19"/>
        <v>962.2382365612599</v>
      </c>
      <c r="BC28" s="277"/>
      <c r="BD28" s="275">
        <f t="shared" si="20"/>
        <v>-757.93936404164424</v>
      </c>
      <c r="BE28" s="210">
        <f t="shared" si="21"/>
        <v>-36.914204123523255</v>
      </c>
      <c r="BF28" s="278">
        <f t="shared" si="22"/>
        <v>5.435180137660032E-4</v>
      </c>
    </row>
    <row r="29" spans="2:58" s="257" customFormat="1" ht="12.75" x14ac:dyDescent="0.2">
      <c r="B29" s="46">
        <v>10</v>
      </c>
      <c r="C29" s="205" t="s">
        <v>107</v>
      </c>
      <c r="D29" s="205" t="s">
        <v>22</v>
      </c>
      <c r="E29" s="280">
        <v>42301.5</v>
      </c>
      <c r="F29" s="206">
        <v>1000</v>
      </c>
      <c r="G29" s="205">
        <v>2.5499999999999998</v>
      </c>
      <c r="H29" s="205">
        <v>6.21</v>
      </c>
      <c r="I29" s="205">
        <v>230</v>
      </c>
      <c r="J29" s="205">
        <v>51.9</v>
      </c>
      <c r="K29" s="259">
        <v>20.100000000000001</v>
      </c>
      <c r="L29" s="205">
        <v>0.52700000000000002</v>
      </c>
      <c r="M29" s="205">
        <v>6.4000000000000001E-2</v>
      </c>
      <c r="N29" s="281">
        <v>13.27</v>
      </c>
      <c r="O29" s="265">
        <f t="shared" si="0"/>
        <v>3.9713639788997744E-2</v>
      </c>
      <c r="P29" s="265">
        <f t="shared" si="1"/>
        <v>8.234375</v>
      </c>
      <c r="Q29" s="257">
        <v>3.726</v>
      </c>
      <c r="R29" s="257">
        <v>0.84060000000000001</v>
      </c>
      <c r="S29" s="257">
        <v>4.4210000000000003</v>
      </c>
      <c r="T29" s="265">
        <v>0.77400000000000002</v>
      </c>
      <c r="U29" s="265">
        <v>7.4017790956263898</v>
      </c>
      <c r="V29" s="217">
        <v>4.3194842406876788</v>
      </c>
      <c r="W29" s="265">
        <v>1.0765027322404372</v>
      </c>
      <c r="X29" s="213">
        <v>2.8548652850810035</v>
      </c>
      <c r="Y29" s="216">
        <v>0.27283954139291977</v>
      </c>
      <c r="Z29" s="213">
        <v>6.314612036105272</v>
      </c>
      <c r="AA29" s="213"/>
      <c r="AB29" s="213"/>
      <c r="AC29" s="205">
        <v>33</v>
      </c>
      <c r="AD29" s="205">
        <v>23</v>
      </c>
      <c r="AE29" s="205">
        <v>6</v>
      </c>
      <c r="AF29" s="208">
        <v>3.42</v>
      </c>
      <c r="AG29" s="271">
        <f t="shared" si="2"/>
        <v>3.8018939632056113E-4</v>
      </c>
      <c r="AH29" s="271">
        <v>3.1622776601683798E-2</v>
      </c>
      <c r="AI29" s="271">
        <f t="shared" si="3"/>
        <v>1.2022644346174128E-5</v>
      </c>
      <c r="AJ29" s="271">
        <v>5.0118723362727197E-7</v>
      </c>
      <c r="AK29" s="271">
        <f t="shared" si="4"/>
        <v>9.7723722095581103</v>
      </c>
      <c r="AL29" s="271">
        <v>5.6234132519034893E-11</v>
      </c>
      <c r="AM29" s="271">
        <f t="shared" si="5"/>
        <v>5.4954087385762461E-10</v>
      </c>
      <c r="AN29" s="272">
        <f t="shared" si="6"/>
        <v>9.772372210657192</v>
      </c>
      <c r="AO29" s="209">
        <f t="shared" si="7"/>
        <v>68.312993717803991</v>
      </c>
      <c r="AP29" s="209">
        <f t="shared" si="8"/>
        <v>47.855575477853861</v>
      </c>
      <c r="AQ29" s="273"/>
      <c r="AR29" s="274">
        <f t="shared" si="9"/>
        <v>0.61659500186148142</v>
      </c>
      <c r="AS29" s="275">
        <f t="shared" si="10"/>
        <v>185.93742202704723</v>
      </c>
      <c r="AT29" s="275">
        <f t="shared" si="11"/>
        <v>69.151036525172756</v>
      </c>
      <c r="AU29" s="275">
        <f t="shared" si="12"/>
        <v>192.30100043497174</v>
      </c>
      <c r="AV29" s="276">
        <f t="shared" si="13"/>
        <v>19.794383918981129</v>
      </c>
      <c r="AW29" s="275">
        <f t="shared" si="14"/>
        <v>59.436735615443951</v>
      </c>
      <c r="AX29" s="276">
        <f t="shared" si="15"/>
        <v>4.4001622629960915</v>
      </c>
      <c r="AY29" s="275">
        <f t="shared" si="16"/>
        <v>178.11220590938063</v>
      </c>
      <c r="AZ29" s="274">
        <f t="shared" si="17"/>
        <v>0</v>
      </c>
      <c r="BA29" s="274">
        <f t="shared" si="18"/>
        <v>2.2279625443978044</v>
      </c>
      <c r="BB29" s="275">
        <f t="shared" si="19"/>
        <v>198.99659500186146</v>
      </c>
      <c r="BC29" s="277"/>
      <c r="BD29" s="275">
        <f t="shared" si="20"/>
        <v>24.626776573954373</v>
      </c>
      <c r="BE29" s="210">
        <f t="shared" si="21"/>
        <v>2.7033454183211845</v>
      </c>
      <c r="BF29" s="278">
        <f t="shared" si="22"/>
        <v>3.5487477084792746E-4</v>
      </c>
    </row>
    <row r="30" spans="2:58" s="257" customFormat="1" ht="12.75" x14ac:dyDescent="0.2">
      <c r="B30" s="46">
        <v>2</v>
      </c>
      <c r="C30" s="205" t="s">
        <v>144</v>
      </c>
      <c r="D30" s="205" t="s">
        <v>145</v>
      </c>
      <c r="E30" s="280">
        <v>42293.5</v>
      </c>
      <c r="F30" s="206">
        <v>1000</v>
      </c>
      <c r="G30" s="205">
        <v>5.09</v>
      </c>
      <c r="H30" s="205">
        <v>7.82</v>
      </c>
      <c r="I30" s="205">
        <v>1640</v>
      </c>
      <c r="J30" s="206">
        <v>164.2</v>
      </c>
      <c r="K30" s="259">
        <v>20.100000000000001</v>
      </c>
      <c r="L30" s="205">
        <v>2E-3</v>
      </c>
      <c r="M30" s="291">
        <v>5.0000000000000001E-4</v>
      </c>
      <c r="N30" s="281">
        <v>1.71</v>
      </c>
      <c r="O30" s="265">
        <f t="shared" si="0"/>
        <v>1.1695906432748538E-3</v>
      </c>
      <c r="P30" s="265">
        <f t="shared" si="1"/>
        <v>4</v>
      </c>
      <c r="Q30" s="257">
        <v>23.92</v>
      </c>
      <c r="R30" s="257">
        <v>2.214</v>
      </c>
      <c r="S30" s="257">
        <v>1.425</v>
      </c>
      <c r="T30" s="265">
        <v>2.1880999999999999</v>
      </c>
      <c r="U30" s="265">
        <v>1.2342475908080062</v>
      </c>
      <c r="V30" s="217">
        <v>0.44054441260744986</v>
      </c>
      <c r="W30" s="265">
        <v>5.6739526411657559</v>
      </c>
      <c r="X30" s="213">
        <v>6.3220196750290656</v>
      </c>
      <c r="Y30" s="213">
        <v>0.14439453955068959</v>
      </c>
      <c r="Z30" s="213">
        <v>0.62559612790636376</v>
      </c>
      <c r="AA30" s="213"/>
      <c r="AB30" s="213"/>
      <c r="AC30" s="205">
        <v>10</v>
      </c>
      <c r="AD30" s="205">
        <v>6</v>
      </c>
      <c r="AE30" s="205">
        <v>6</v>
      </c>
      <c r="AF30" s="208">
        <v>3.42</v>
      </c>
      <c r="AG30" s="271">
        <f t="shared" si="2"/>
        <v>3.8018939632056113E-4</v>
      </c>
      <c r="AH30" s="271">
        <v>3.1622776601683798E-2</v>
      </c>
      <c r="AI30" s="271">
        <f t="shared" si="3"/>
        <v>1.2022644346174128E-5</v>
      </c>
      <c r="AJ30" s="271">
        <v>5.0118723362727197E-7</v>
      </c>
      <c r="AK30" s="271">
        <f t="shared" si="4"/>
        <v>398.10717055349841</v>
      </c>
      <c r="AL30" s="271">
        <v>5.6234132519034893E-11</v>
      </c>
      <c r="AM30" s="271">
        <f t="shared" si="5"/>
        <v>2.2387211385683454E-8</v>
      </c>
      <c r="AN30" s="272">
        <f t="shared" si="6"/>
        <v>398.10717059827283</v>
      </c>
      <c r="AO30" s="209">
        <f t="shared" si="7"/>
        <v>9.3469600822962811</v>
      </c>
      <c r="AP30" s="209">
        <f t="shared" si="8"/>
        <v>6.1667697111627806</v>
      </c>
      <c r="AQ30" s="273"/>
      <c r="AR30" s="274">
        <f t="shared" si="9"/>
        <v>1.5135612484362029E-2</v>
      </c>
      <c r="AS30" s="275">
        <f t="shared" si="10"/>
        <v>1193.6723389390688</v>
      </c>
      <c r="AT30" s="275">
        <f t="shared" si="11"/>
        <v>182.13228035538003</v>
      </c>
      <c r="AU30" s="275">
        <f t="shared" si="12"/>
        <v>61.983471074380176</v>
      </c>
      <c r="AV30" s="276">
        <f t="shared" si="13"/>
        <v>55.958774487238507</v>
      </c>
      <c r="AW30" s="275">
        <f t="shared" si="14"/>
        <v>131.62099589917275</v>
      </c>
      <c r="AX30" s="276">
        <f t="shared" si="15"/>
        <v>2.3286925372691916</v>
      </c>
      <c r="AY30" s="275">
        <f t="shared" si="16"/>
        <v>17.645788167612437</v>
      </c>
      <c r="AZ30" s="274">
        <f t="shared" si="17"/>
        <v>0</v>
      </c>
      <c r="BA30" s="274">
        <f t="shared" si="18"/>
        <v>0.58120762027768813</v>
      </c>
      <c r="BB30" s="275">
        <f t="shared" si="19"/>
        <v>1608.3951356124844</v>
      </c>
      <c r="BC30" s="277"/>
      <c r="BD30" s="275">
        <f t="shared" si="20"/>
        <v>-266.8098193682647</v>
      </c>
      <c r="BE30" s="210">
        <f t="shared" si="21"/>
        <v>-8.1986002082364369</v>
      </c>
      <c r="BF30" s="278">
        <f t="shared" si="22"/>
        <v>8.2267873853630316E-4</v>
      </c>
    </row>
    <row r="31" spans="2:58" s="257" customFormat="1" ht="12.75" customHeight="1" x14ac:dyDescent="0.2">
      <c r="B31" s="46">
        <v>8</v>
      </c>
      <c r="C31" s="292" t="s">
        <v>108</v>
      </c>
      <c r="D31" s="205" t="s">
        <v>22</v>
      </c>
      <c r="E31" s="258" t="s">
        <v>277</v>
      </c>
      <c r="F31" s="206">
        <v>1000</v>
      </c>
      <c r="G31" s="259"/>
      <c r="H31" s="260">
        <v>7.28</v>
      </c>
      <c r="I31" s="261">
        <v>1377.0163542082171</v>
      </c>
      <c r="J31" s="287">
        <v>224</v>
      </c>
      <c r="K31" s="263">
        <v>20.9</v>
      </c>
      <c r="L31" s="214">
        <v>0.20899999999999999</v>
      </c>
      <c r="M31" s="214">
        <v>3.2000000000000001E-2</v>
      </c>
      <c r="N31" s="264">
        <v>5.282</v>
      </c>
      <c r="O31" s="265">
        <f t="shared" si="0"/>
        <v>3.9568345323741004E-2</v>
      </c>
      <c r="P31" s="265">
        <f t="shared" si="1"/>
        <v>6.53125</v>
      </c>
      <c r="Q31" s="266">
        <v>33.155149988124009</v>
      </c>
      <c r="R31" s="266">
        <v>5.6764929403110793</v>
      </c>
      <c r="S31" s="266">
        <v>19.894904399988331</v>
      </c>
      <c r="T31" s="266">
        <v>3.6662853145275367</v>
      </c>
      <c r="U31" s="265">
        <v>7.8914010378057817</v>
      </c>
      <c r="V31" s="267">
        <v>7.5278001611603544</v>
      </c>
      <c r="W31" s="265">
        <v>0.97291492227602028</v>
      </c>
      <c r="X31" s="267">
        <v>18.839155437385831</v>
      </c>
      <c r="Y31" s="267">
        <v>2.3788359720884182</v>
      </c>
      <c r="Z31" s="207">
        <v>25.138833409804722</v>
      </c>
      <c r="AA31" s="268">
        <v>0.13873447175471793</v>
      </c>
      <c r="AB31" s="268"/>
      <c r="AC31" s="269">
        <v>69.13</v>
      </c>
      <c r="AD31" s="269">
        <v>30.664641723042937</v>
      </c>
      <c r="AE31" s="270">
        <f>AC31-AD31</f>
        <v>38.465358276957062</v>
      </c>
      <c r="AF31" s="208">
        <v>3.42</v>
      </c>
      <c r="AG31" s="271">
        <f t="shared" si="2"/>
        <v>3.8018939632056113E-4</v>
      </c>
      <c r="AH31" s="271">
        <v>3.1622776601683798E-2</v>
      </c>
      <c r="AI31" s="271">
        <f t="shared" si="3"/>
        <v>1.2022644346174128E-5</v>
      </c>
      <c r="AJ31" s="271">
        <v>5.0118723362727197E-7</v>
      </c>
      <c r="AK31" s="271">
        <f t="shared" si="4"/>
        <v>114.81536214968837</v>
      </c>
      <c r="AL31" s="271">
        <v>5.6234132519034893E-11</v>
      </c>
      <c r="AM31" s="271">
        <f t="shared" si="5"/>
        <v>6.4565422903465574E-9</v>
      </c>
      <c r="AN31" s="272">
        <f t="shared" si="6"/>
        <v>114.81536216260146</v>
      </c>
      <c r="AO31" s="209">
        <f t="shared" si="7"/>
        <v>28.632285105479664</v>
      </c>
      <c r="AP31" s="209">
        <f t="shared" si="8"/>
        <v>19.048466441147262</v>
      </c>
      <c r="AQ31" s="273"/>
      <c r="AR31" s="274">
        <f t="shared" si="9"/>
        <v>5.2480746024977189E-2</v>
      </c>
      <c r="AS31" s="275">
        <f t="shared" si="10"/>
        <v>1654.531163637108</v>
      </c>
      <c r="AT31" s="275">
        <f t="shared" si="11"/>
        <v>466.97046234872317</v>
      </c>
      <c r="AU31" s="275">
        <f t="shared" si="12"/>
        <v>865.37209221349849</v>
      </c>
      <c r="AV31" s="276">
        <f t="shared" si="13"/>
        <v>93.762091824651847</v>
      </c>
      <c r="AW31" s="275">
        <f t="shared" si="14"/>
        <v>392.22092432931862</v>
      </c>
      <c r="AX31" s="276">
        <f t="shared" si="15"/>
        <v>38.364176324307188</v>
      </c>
      <c r="AY31" s="275">
        <f t="shared" si="16"/>
        <v>709.07492764518429</v>
      </c>
      <c r="AZ31" s="274">
        <f t="shared" si="17"/>
        <v>7.3025829958268194</v>
      </c>
      <c r="BA31" s="274">
        <f t="shared" si="18"/>
        <v>2.9704205737529485</v>
      </c>
      <c r="BB31" s="275">
        <f t="shared" si="19"/>
        <v>1345.4488349542421</v>
      </c>
      <c r="BC31" s="277"/>
      <c r="BD31" s="275">
        <f t="shared" si="20"/>
        <v>585.30642394737379</v>
      </c>
      <c r="BE31" s="210">
        <f t="shared" si="21"/>
        <v>10.496755015723631</v>
      </c>
      <c r="BF31" s="278">
        <f t="shared" si="22"/>
        <v>2.113825451032321E-3</v>
      </c>
    </row>
    <row r="32" spans="2:58" s="257" customFormat="1" ht="12.75" customHeight="1" x14ac:dyDescent="0.2">
      <c r="B32" s="46">
        <v>4</v>
      </c>
      <c r="C32" s="292" t="s">
        <v>108</v>
      </c>
      <c r="D32" s="205" t="s">
        <v>22</v>
      </c>
      <c r="E32" s="258" t="s">
        <v>283</v>
      </c>
      <c r="F32" s="206">
        <v>2000</v>
      </c>
      <c r="G32" s="214">
        <v>18.800000000000022</v>
      </c>
      <c r="H32" s="260">
        <v>7.11</v>
      </c>
      <c r="I32" s="261">
        <v>1975.9116840745278</v>
      </c>
      <c r="J32" s="262">
        <v>244</v>
      </c>
      <c r="K32" s="263">
        <v>22.2</v>
      </c>
      <c r="L32" s="279">
        <v>0.21199999999999999</v>
      </c>
      <c r="M32" s="214">
        <v>3.1E-2</v>
      </c>
      <c r="N32" s="265">
        <v>4.3140000000000001</v>
      </c>
      <c r="O32" s="265">
        <f t="shared" si="0"/>
        <v>4.9142327306444133E-2</v>
      </c>
      <c r="P32" s="265">
        <f t="shared" si="1"/>
        <v>6.838709677419355</v>
      </c>
      <c r="Q32" s="265">
        <v>28.4818</v>
      </c>
      <c r="R32" s="214">
        <v>5.2700100000000001</v>
      </c>
      <c r="S32" s="265">
        <v>15.9796</v>
      </c>
      <c r="T32" s="265">
        <v>2.5989599999999999</v>
      </c>
      <c r="U32" s="215">
        <v>9.1805500000000009E-3</v>
      </c>
      <c r="V32" s="265">
        <v>0.194129</v>
      </c>
      <c r="W32" s="265">
        <v>2.9373699999999999E-2</v>
      </c>
      <c r="X32" s="213">
        <f>1.77399956616401*10</f>
        <v>17.739995661640101</v>
      </c>
      <c r="Y32" s="213">
        <v>1.2198919028314683</v>
      </c>
      <c r="Z32" s="213">
        <v>20.800429866027621</v>
      </c>
      <c r="AA32" s="213">
        <v>0.1781211267474625</v>
      </c>
      <c r="AB32" s="213"/>
      <c r="AC32" s="257">
        <v>146</v>
      </c>
      <c r="AD32" s="257">
        <v>54</v>
      </c>
      <c r="AE32" s="257">
        <v>44</v>
      </c>
      <c r="AF32" s="208">
        <v>3.42</v>
      </c>
      <c r="AG32" s="271">
        <f t="shared" si="2"/>
        <v>3.8018939632056113E-4</v>
      </c>
      <c r="AH32" s="271">
        <v>3.1622776601683798E-2</v>
      </c>
      <c r="AI32" s="271">
        <f t="shared" si="3"/>
        <v>1.2022644346174128E-5</v>
      </c>
      <c r="AJ32" s="271">
        <v>5.0118723362727197E-7</v>
      </c>
      <c r="AK32" s="271">
        <f t="shared" si="4"/>
        <v>77.624711662869373</v>
      </c>
      <c r="AL32" s="271">
        <v>5.6234132519034893E-11</v>
      </c>
      <c r="AM32" s="271">
        <f t="shared" si="5"/>
        <v>4.3651583224016687E-9</v>
      </c>
      <c r="AN32" s="272">
        <f t="shared" si="6"/>
        <v>77.624711671599684</v>
      </c>
      <c r="AO32" s="209">
        <f t="shared" si="7"/>
        <v>23.285876006369893</v>
      </c>
      <c r="AP32" s="209">
        <f t="shared" si="8"/>
        <v>15.557569902898386</v>
      </c>
      <c r="AQ32" s="273"/>
      <c r="AR32" s="274">
        <f t="shared" si="9"/>
        <v>7.7624711662868925E-2</v>
      </c>
      <c r="AS32" s="275">
        <f t="shared" si="10"/>
        <v>1421.3184290633264</v>
      </c>
      <c r="AT32" s="275">
        <f t="shared" si="11"/>
        <v>433.53158933859822</v>
      </c>
      <c r="AU32" s="275">
        <f t="shared" si="12"/>
        <v>695.06742061765988</v>
      </c>
      <c r="AV32" s="276">
        <f t="shared" si="13"/>
        <v>66.466165413533844</v>
      </c>
      <c r="AW32" s="275">
        <f t="shared" si="14"/>
        <v>369.33701827198752</v>
      </c>
      <c r="AX32" s="276">
        <f t="shared" si="15"/>
        <v>19.673549839476511</v>
      </c>
      <c r="AY32" s="275">
        <f t="shared" si="16"/>
        <v>586.70436538593685</v>
      </c>
      <c r="AZ32" s="274">
        <f t="shared" si="17"/>
        <v>9.3757830691368831</v>
      </c>
      <c r="BA32" s="274">
        <f t="shared" si="18"/>
        <v>5.230868582499193</v>
      </c>
      <c r="BB32" s="275">
        <f t="shared" si="19"/>
        <v>1944.3693087861907</v>
      </c>
      <c r="BC32" s="277"/>
      <c r="BD32" s="275">
        <f t="shared" si="20"/>
        <v>-318.22966479044635</v>
      </c>
      <c r="BE32" s="210">
        <f t="shared" si="21"/>
        <v>-5.7326777889466198</v>
      </c>
      <c r="BF32" s="278">
        <f t="shared" si="22"/>
        <v>1.8007759728556592E-3</v>
      </c>
    </row>
    <row r="33" spans="2:58" s="257" customFormat="1" ht="12.75" x14ac:dyDescent="0.2">
      <c r="B33" s="46">
        <v>7</v>
      </c>
      <c r="C33" s="205" t="s">
        <v>108</v>
      </c>
      <c r="D33" s="205" t="s">
        <v>22</v>
      </c>
      <c r="E33" s="280">
        <v>42298.5</v>
      </c>
      <c r="F33" s="206">
        <v>1000</v>
      </c>
      <c r="G33" s="205">
        <v>5.51</v>
      </c>
      <c r="H33" s="205">
        <v>7.36</v>
      </c>
      <c r="I33" s="205">
        <v>1640</v>
      </c>
      <c r="J33" s="205">
        <v>228</v>
      </c>
      <c r="K33" s="259">
        <v>21</v>
      </c>
      <c r="L33" s="205">
        <v>0.17899999999999999</v>
      </c>
      <c r="M33" s="205">
        <v>1.7999999999999999E-2</v>
      </c>
      <c r="N33" s="281">
        <v>5.96</v>
      </c>
      <c r="O33" s="265">
        <f t="shared" si="0"/>
        <v>3.0033557046979863E-2</v>
      </c>
      <c r="P33" s="265">
        <f t="shared" si="1"/>
        <v>9.9444444444444446</v>
      </c>
      <c r="Q33" s="257">
        <v>24.169</v>
      </c>
      <c r="R33" s="257">
        <v>3.8879999999999999</v>
      </c>
      <c r="S33" s="257">
        <v>8.9990000000000006</v>
      </c>
      <c r="T33" s="265">
        <v>2.718</v>
      </c>
      <c r="U33" s="265">
        <v>1.3676797627872499</v>
      </c>
      <c r="V33" s="217">
        <v>3.125</v>
      </c>
      <c r="W33" s="265">
        <v>2.0255009107468123</v>
      </c>
      <c r="X33" s="213">
        <v>10.40473886737778</v>
      </c>
      <c r="Y33" s="213">
        <v>1.6139723718476027</v>
      </c>
      <c r="Z33" s="213">
        <v>15.228896256028976</v>
      </c>
      <c r="AA33" s="213"/>
      <c r="AB33" s="213"/>
      <c r="AC33" s="205">
        <v>198</v>
      </c>
      <c r="AD33" s="205">
        <v>67</v>
      </c>
      <c r="AE33" s="205">
        <v>64</v>
      </c>
      <c r="AF33" s="208">
        <v>3.42</v>
      </c>
      <c r="AG33" s="271">
        <f t="shared" si="2"/>
        <v>3.8018939632056113E-4</v>
      </c>
      <c r="AH33" s="271">
        <v>3.1622776601683798E-2</v>
      </c>
      <c r="AI33" s="271">
        <f t="shared" si="3"/>
        <v>1.2022644346174128E-5</v>
      </c>
      <c r="AJ33" s="271">
        <v>5.0118723362727197E-7</v>
      </c>
      <c r="AK33" s="271">
        <f t="shared" si="4"/>
        <v>138.03842646028849</v>
      </c>
      <c r="AL33" s="271">
        <v>5.6234132519034893E-11</v>
      </c>
      <c r="AM33" s="271">
        <f t="shared" si="5"/>
        <v>7.7624711662869157E-9</v>
      </c>
      <c r="AN33" s="272">
        <f t="shared" si="6"/>
        <v>138.03842647581342</v>
      </c>
      <c r="AO33" s="209">
        <f t="shared" si="7"/>
        <v>32.361767447256355</v>
      </c>
      <c r="AP33" s="209">
        <f t="shared" si="8"/>
        <v>21.493536537152149</v>
      </c>
      <c r="AQ33" s="273"/>
      <c r="AR33" s="274">
        <f t="shared" si="9"/>
        <v>4.3651583224016563E-2</v>
      </c>
      <c r="AS33" s="275">
        <f t="shared" si="10"/>
        <v>1206.0981086880581</v>
      </c>
      <c r="AT33" s="275">
        <f t="shared" si="11"/>
        <v>319.84205330700888</v>
      </c>
      <c r="AU33" s="275">
        <f t="shared" si="12"/>
        <v>391.43105698129625</v>
      </c>
      <c r="AV33" s="276">
        <f t="shared" si="13"/>
        <v>69.51051097130582</v>
      </c>
      <c r="AW33" s="275">
        <f t="shared" si="14"/>
        <v>216.62097908431423</v>
      </c>
      <c r="AX33" s="276">
        <f t="shared" si="15"/>
        <v>26.028999637903688</v>
      </c>
      <c r="AY33" s="275">
        <f t="shared" si="16"/>
        <v>429.55169537215397</v>
      </c>
      <c r="AZ33" s="274">
        <f t="shared" si="17"/>
        <v>0</v>
      </c>
      <c r="BA33" s="274">
        <f t="shared" si="18"/>
        <v>6.4901517597675173</v>
      </c>
      <c r="BB33" s="275">
        <f t="shared" si="19"/>
        <v>1608.4236515832242</v>
      </c>
      <c r="BC33" s="277"/>
      <c r="BD33" s="275">
        <f t="shared" si="20"/>
        <v>-300.19009590647033</v>
      </c>
      <c r="BE33" s="210">
        <f t="shared" si="21"/>
        <v>-7.0235663582059304</v>
      </c>
      <c r="BF33" s="278">
        <f t="shared" si="22"/>
        <v>1.3295635278126325E-3</v>
      </c>
    </row>
    <row r="34" spans="2:58" s="257" customFormat="1" ht="12.75" customHeight="1" x14ac:dyDescent="0.2">
      <c r="B34" s="46">
        <v>4</v>
      </c>
      <c r="C34" s="205" t="s">
        <v>104</v>
      </c>
      <c r="D34" s="205" t="s">
        <v>22</v>
      </c>
      <c r="E34" s="258" t="s">
        <v>274</v>
      </c>
      <c r="F34" s="206">
        <v>1000</v>
      </c>
      <c r="G34" s="259"/>
      <c r="H34" s="260">
        <v>7.38</v>
      </c>
      <c r="I34" s="261">
        <v>916.61165241598724</v>
      </c>
      <c r="J34" s="287">
        <v>219</v>
      </c>
      <c r="K34" s="263">
        <v>19.399999999999999</v>
      </c>
      <c r="L34" s="214">
        <v>0.22800000000000001</v>
      </c>
      <c r="M34" s="214">
        <v>0.28000000000000003</v>
      </c>
      <c r="N34" s="264">
        <v>6.9249999999999998</v>
      </c>
      <c r="O34" s="265">
        <f t="shared" si="0"/>
        <v>3.2924187725631771E-2</v>
      </c>
      <c r="P34" s="265">
        <f t="shared" si="1"/>
        <v>0.81428571428571428</v>
      </c>
      <c r="Q34" s="266">
        <v>25.035275101039684</v>
      </c>
      <c r="R34" s="266">
        <v>5.512700144520859</v>
      </c>
      <c r="S34" s="266">
        <v>21.030284120974741</v>
      </c>
      <c r="T34" s="266">
        <v>4.8838486549843863</v>
      </c>
      <c r="U34" s="265">
        <v>5.7679762787249818</v>
      </c>
      <c r="V34" s="267">
        <v>4.1287492165816095</v>
      </c>
      <c r="W34" s="265">
        <v>1.0564636499326512</v>
      </c>
      <c r="X34" s="267">
        <v>13.423475196029724</v>
      </c>
      <c r="Y34" s="267">
        <v>7.0080877433267297</v>
      </c>
      <c r="Z34" s="207">
        <v>34.878012449587345</v>
      </c>
      <c r="AA34" s="268">
        <v>0.24589216917498447</v>
      </c>
      <c r="AB34" s="268"/>
      <c r="AC34" s="269">
        <v>18.62</v>
      </c>
      <c r="AD34" s="288">
        <v>5.3088499240646136</v>
      </c>
      <c r="AE34" s="270">
        <f>AC34-AD34</f>
        <v>13.311150075935387</v>
      </c>
      <c r="AF34" s="208">
        <v>3.42</v>
      </c>
      <c r="AG34" s="271">
        <f t="shared" si="2"/>
        <v>3.8018939632056113E-4</v>
      </c>
      <c r="AH34" s="271">
        <v>3.1622776601683798E-2</v>
      </c>
      <c r="AI34" s="271">
        <f t="shared" si="3"/>
        <v>1.2022644346174128E-5</v>
      </c>
      <c r="AJ34" s="271">
        <v>5.0118723362727197E-7</v>
      </c>
      <c r="AK34" s="271">
        <f t="shared" si="4"/>
        <v>144.54397707459273</v>
      </c>
      <c r="AL34" s="271">
        <v>5.6234132519034893E-11</v>
      </c>
      <c r="AM34" s="271">
        <f t="shared" si="5"/>
        <v>8.1283051616409878E-9</v>
      </c>
      <c r="AN34" s="272">
        <f t="shared" si="6"/>
        <v>144.54397709084935</v>
      </c>
      <c r="AO34" s="209">
        <f t="shared" si="7"/>
        <v>37.616236566537999</v>
      </c>
      <c r="AP34" s="209">
        <f t="shared" si="8"/>
        <v>24.973614181170916</v>
      </c>
      <c r="AQ34" s="273"/>
      <c r="AR34" s="274">
        <f t="shared" si="9"/>
        <v>4.1686938347033513E-2</v>
      </c>
      <c r="AS34" s="275">
        <f t="shared" si="10"/>
        <v>1249.3275662977035</v>
      </c>
      <c r="AT34" s="275">
        <f t="shared" si="11"/>
        <v>453.49622774933027</v>
      </c>
      <c r="AU34" s="275">
        <f t="shared" si="12"/>
        <v>914.75789999890128</v>
      </c>
      <c r="AV34" s="275">
        <f t="shared" si="13"/>
        <v>124.90022645860535</v>
      </c>
      <c r="AW34" s="275">
        <f t="shared" si="14"/>
        <v>279.4694203037501</v>
      </c>
      <c r="AX34" s="275">
        <f t="shared" si="15"/>
        <v>113.02145967011192</v>
      </c>
      <c r="AY34" s="275">
        <f t="shared" si="16"/>
        <v>983.78169547252264</v>
      </c>
      <c r="AZ34" s="276">
        <f t="shared" si="17"/>
        <v>12.943055541371958</v>
      </c>
      <c r="BA34" s="274">
        <f t="shared" si="18"/>
        <v>0.51425733846282995</v>
      </c>
      <c r="BB34" s="275">
        <f t="shared" si="19"/>
        <v>885.03333935433432</v>
      </c>
      <c r="BC34" s="277"/>
      <c r="BD34" s="275">
        <f t="shared" si="20"/>
        <v>467.76037976233329</v>
      </c>
      <c r="BE34" s="210">
        <f t="shared" si="21"/>
        <v>9.32297465011934</v>
      </c>
      <c r="BF34" s="278">
        <f t="shared" si="22"/>
        <v>2.0658696192153219E-3</v>
      </c>
    </row>
    <row r="35" spans="2:58" s="257" customFormat="1" ht="12.75" customHeight="1" x14ac:dyDescent="0.2">
      <c r="B35" s="46">
        <v>5</v>
      </c>
      <c r="C35" s="205" t="s">
        <v>104</v>
      </c>
      <c r="D35" s="257" t="s">
        <v>22</v>
      </c>
      <c r="E35" s="258" t="s">
        <v>284</v>
      </c>
      <c r="F35" s="206">
        <v>2000</v>
      </c>
      <c r="G35" s="214">
        <v>2.7142857142857326</v>
      </c>
      <c r="H35" s="260">
        <v>7.46</v>
      </c>
      <c r="I35" s="261">
        <v>984.24799356397023</v>
      </c>
      <c r="J35" s="262">
        <v>209</v>
      </c>
      <c r="K35" s="263">
        <v>22.5</v>
      </c>
      <c r="L35" s="279">
        <v>0.193</v>
      </c>
      <c r="M35" s="214">
        <v>2.4E-2</v>
      </c>
      <c r="N35" s="265">
        <v>4.6420000000000003</v>
      </c>
      <c r="O35" s="265">
        <f t="shared" si="0"/>
        <v>4.1576906505816455E-2</v>
      </c>
      <c r="P35" s="265">
        <f t="shared" si="1"/>
        <v>8.0416666666666661</v>
      </c>
      <c r="Q35" s="265">
        <v>18.3963</v>
      </c>
      <c r="R35" s="214">
        <v>4.1443700000000003</v>
      </c>
      <c r="S35" s="265">
        <v>18.277899999999999</v>
      </c>
      <c r="T35" s="265">
        <v>2.7003900000000001</v>
      </c>
      <c r="U35" s="215">
        <v>8.1408499999999998E-3</v>
      </c>
      <c r="V35" s="265">
        <v>1.54012E-2</v>
      </c>
      <c r="W35" s="211">
        <v>0</v>
      </c>
      <c r="X35" s="213">
        <f>1.59553952326245*10</f>
        <v>15.9553952326245</v>
      </c>
      <c r="Y35" s="213">
        <v>5.7389042342330789</v>
      </c>
      <c r="Z35" s="213">
        <v>32.89905319260923</v>
      </c>
      <c r="AA35" s="213">
        <v>0.29777800691237177</v>
      </c>
      <c r="AB35" s="213"/>
      <c r="AC35" s="257">
        <v>59</v>
      </c>
      <c r="AD35" s="257">
        <v>44</v>
      </c>
      <c r="AE35" s="257">
        <v>6</v>
      </c>
      <c r="AF35" s="208">
        <v>3.42</v>
      </c>
      <c r="AG35" s="271">
        <f t="shared" si="2"/>
        <v>3.8018939632056113E-4</v>
      </c>
      <c r="AH35" s="271">
        <v>3.1622776601683798E-2</v>
      </c>
      <c r="AI35" s="271">
        <f t="shared" si="3"/>
        <v>1.2022644346174128E-5</v>
      </c>
      <c r="AJ35" s="271">
        <v>5.0118723362727197E-7</v>
      </c>
      <c r="AK35" s="271">
        <f t="shared" si="4"/>
        <v>173.78008287493739</v>
      </c>
      <c r="AL35" s="271">
        <v>5.6234132519034893E-11</v>
      </c>
      <c r="AM35" s="271">
        <f t="shared" si="5"/>
        <v>9.7723722095580961E-9</v>
      </c>
      <c r="AN35" s="272">
        <f t="shared" si="6"/>
        <v>173.78008289448215</v>
      </c>
      <c r="AO35" s="209">
        <f t="shared" si="7"/>
        <v>25.251822554650722</v>
      </c>
      <c r="AP35" s="209">
        <f t="shared" si="8"/>
        <v>16.740435672057096</v>
      </c>
      <c r="AQ35" s="273"/>
      <c r="AR35" s="274">
        <f t="shared" si="9"/>
        <v>3.4673685045253172E-2</v>
      </c>
      <c r="AS35" s="275">
        <f t="shared" si="10"/>
        <v>918.02485153949783</v>
      </c>
      <c r="AT35" s="275">
        <f t="shared" si="11"/>
        <v>340.93205001645276</v>
      </c>
      <c r="AU35" s="275">
        <f t="shared" si="12"/>
        <v>795.0369725967812</v>
      </c>
      <c r="AV35" s="276">
        <f t="shared" si="13"/>
        <v>69.06015037593987</v>
      </c>
      <c r="AW35" s="275">
        <f t="shared" si="14"/>
        <v>332.18261227149611</v>
      </c>
      <c r="AX35" s="276">
        <f t="shared" si="15"/>
        <v>92.552969827987596</v>
      </c>
      <c r="AY35" s="275">
        <f t="shared" si="16"/>
        <v>927.96246277068872</v>
      </c>
      <c r="AZ35" s="274">
        <f t="shared" si="17"/>
        <v>15.674176592924082</v>
      </c>
      <c r="BA35" s="274">
        <f t="shared" si="18"/>
        <v>4.2621892153697125</v>
      </c>
      <c r="BB35" s="275">
        <f t="shared" si="19"/>
        <v>952.6626672490155</v>
      </c>
      <c r="BC35" s="277"/>
      <c r="BD35" s="275">
        <f t="shared" si="20"/>
        <v>-202.20837971376477</v>
      </c>
      <c r="BE35" s="210">
        <f t="shared" si="21"/>
        <v>-4.5456574562013961</v>
      </c>
      <c r="BF35" s="278">
        <f t="shared" si="22"/>
        <v>1.7457304598384067E-3</v>
      </c>
    </row>
    <row r="36" spans="2:58" s="257" customFormat="1" ht="12.75" x14ac:dyDescent="0.2">
      <c r="B36" s="46">
        <v>9</v>
      </c>
      <c r="C36" s="205" t="s">
        <v>104</v>
      </c>
      <c r="D36" s="205" t="s">
        <v>22</v>
      </c>
      <c r="E36" s="280">
        <v>42300.5</v>
      </c>
      <c r="F36" s="206">
        <v>1000</v>
      </c>
      <c r="G36" s="205">
        <v>5.7</v>
      </c>
      <c r="H36" s="205">
        <v>7.18</v>
      </c>
      <c r="I36" s="205">
        <v>1000</v>
      </c>
      <c r="J36" s="205">
        <v>207</v>
      </c>
      <c r="K36" s="259">
        <v>21</v>
      </c>
      <c r="L36" s="205">
        <v>0.34499999999999997</v>
      </c>
      <c r="M36" s="205">
        <v>3.9E-2</v>
      </c>
      <c r="N36" s="281">
        <v>9.44</v>
      </c>
      <c r="O36" s="265">
        <f t="shared" si="0"/>
        <v>3.6546610169491525E-2</v>
      </c>
      <c r="P36" s="265">
        <f t="shared" si="1"/>
        <v>8.8461538461538449</v>
      </c>
      <c r="Q36" s="257">
        <v>16.577999999999999</v>
      </c>
      <c r="R36" s="257">
        <v>3.1840000000000002</v>
      </c>
      <c r="S36" s="257">
        <v>10.525</v>
      </c>
      <c r="T36" s="265">
        <v>3.294</v>
      </c>
      <c r="U36" s="265">
        <v>7.0163083765752399</v>
      </c>
      <c r="V36" s="217">
        <v>4.0866762177650422</v>
      </c>
      <c r="W36" s="265">
        <v>2.9599271402550094</v>
      </c>
      <c r="X36" s="213">
        <v>11.939594084258477</v>
      </c>
      <c r="Y36" s="213">
        <v>6.8091025327473762</v>
      </c>
      <c r="Z36" s="213">
        <v>21.680891741294705</v>
      </c>
      <c r="AA36" s="213"/>
      <c r="AB36" s="213"/>
      <c r="AC36" s="205">
        <v>86</v>
      </c>
      <c r="AD36" s="205">
        <v>68</v>
      </c>
      <c r="AE36" s="205">
        <v>36</v>
      </c>
      <c r="AF36" s="208">
        <v>3.42</v>
      </c>
      <c r="AG36" s="271">
        <f t="shared" si="2"/>
        <v>3.8018939632056113E-4</v>
      </c>
      <c r="AH36" s="271">
        <v>3.1622776601683798E-2</v>
      </c>
      <c r="AI36" s="271">
        <f t="shared" si="3"/>
        <v>1.2022644346174128E-5</v>
      </c>
      <c r="AJ36" s="271">
        <v>5.0118723362727197E-7</v>
      </c>
      <c r="AK36" s="271">
        <f t="shared" si="4"/>
        <v>91.201083935591157</v>
      </c>
      <c r="AL36" s="271">
        <v>5.6234132519034893E-11</v>
      </c>
      <c r="AM36" s="271">
        <f t="shared" si="5"/>
        <v>5.1286138399136567E-9</v>
      </c>
      <c r="AN36" s="272">
        <f t="shared" si="6"/>
        <v>91.201083945848382</v>
      </c>
      <c r="AO36" s="209">
        <f t="shared" si="7"/>
        <v>51.050132167962396</v>
      </c>
      <c r="AP36" s="209">
        <f t="shared" si="8"/>
        <v>34.043453844079913</v>
      </c>
      <c r="AQ36" s="273"/>
      <c r="AR36" s="274">
        <f t="shared" si="9"/>
        <v>6.6069344800759433E-2</v>
      </c>
      <c r="AS36" s="275">
        <f t="shared" si="10"/>
        <v>827.28679075802177</v>
      </c>
      <c r="AT36" s="275">
        <f t="shared" si="11"/>
        <v>261.92826587693321</v>
      </c>
      <c r="AU36" s="275">
        <f t="shared" si="12"/>
        <v>457.80774249673777</v>
      </c>
      <c r="AV36" s="276">
        <f t="shared" si="13"/>
        <v>84.241215283105731</v>
      </c>
      <c r="AW36" s="275">
        <f t="shared" si="14"/>
        <v>248.57582620458192</v>
      </c>
      <c r="AX36" s="276">
        <f t="shared" si="15"/>
        <v>109.81236757878384</v>
      </c>
      <c r="AY36" s="275">
        <f t="shared" si="16"/>
        <v>611.53898799240415</v>
      </c>
      <c r="AZ36" s="274">
        <f t="shared" si="17"/>
        <v>0</v>
      </c>
      <c r="BA36" s="274">
        <f t="shared" si="18"/>
        <v>6.5870196964804641</v>
      </c>
      <c r="BB36" s="275">
        <f t="shared" si="19"/>
        <v>968.44606934480078</v>
      </c>
      <c r="BC36" s="277"/>
      <c r="BD36" s="275">
        <f t="shared" si="20"/>
        <v>-313.63018705745162</v>
      </c>
      <c r="BE36" s="210">
        <f t="shared" si="21"/>
        <v>-8.7697070417141259</v>
      </c>
      <c r="BF36" s="278">
        <f t="shared" si="22"/>
        <v>1.3006286327676845E-3</v>
      </c>
    </row>
    <row r="37" spans="2:58" s="149" customFormat="1" ht="15.75" x14ac:dyDescent="0.25">
      <c r="B37" s="135"/>
      <c r="C37" s="111"/>
      <c r="D37" s="111"/>
      <c r="E37" s="256"/>
      <c r="F37" s="43"/>
      <c r="G37" s="5"/>
      <c r="H37" s="5"/>
      <c r="I37" s="219"/>
      <c r="J37" s="220"/>
      <c r="K37" s="221"/>
      <c r="L37" s="222"/>
      <c r="M37" s="223"/>
      <c r="N37" s="224"/>
      <c r="O37" s="225"/>
      <c r="P37" s="225"/>
      <c r="Q37" s="225"/>
      <c r="R37" s="225"/>
      <c r="S37" s="143"/>
      <c r="T37" s="226"/>
      <c r="U37" s="143"/>
      <c r="V37" s="223"/>
      <c r="W37" s="223"/>
      <c r="X37" s="223"/>
      <c r="Y37" s="223"/>
      <c r="Z37" s="223"/>
      <c r="AA37" s="223"/>
      <c r="AB37" s="151"/>
      <c r="AC37" s="151"/>
      <c r="AD37" s="151"/>
      <c r="AE37" s="227"/>
      <c r="AF37" s="143"/>
      <c r="AG37" s="143"/>
      <c r="AH37" s="143"/>
      <c r="AI37" s="143"/>
      <c r="AJ37" s="143"/>
      <c r="AK37" s="143"/>
      <c r="AL37" s="223"/>
      <c r="AM37" s="223"/>
      <c r="AN37" s="223"/>
      <c r="AO37" s="151"/>
      <c r="AP37" s="151"/>
      <c r="AQ37" s="151"/>
      <c r="AR37" s="227"/>
      <c r="AS37" s="226"/>
      <c r="AT37" s="226"/>
      <c r="AU37" s="228"/>
      <c r="AV37" s="229"/>
      <c r="AW37" s="229"/>
      <c r="AX37" s="109"/>
      <c r="AY37" s="110"/>
      <c r="AZ37" s="125"/>
      <c r="BA37" s="5"/>
      <c r="BB37" s="230"/>
      <c r="BC37" s="231"/>
      <c r="BD37" s="231"/>
      <c r="BE37" s="231"/>
      <c r="BF37" s="231"/>
    </row>
    <row r="38" spans="2:58" s="149" customFormat="1" ht="15.75" x14ac:dyDescent="0.25">
      <c r="B38" s="135"/>
      <c r="C38" s="111"/>
      <c r="D38" s="111"/>
      <c r="E38" s="136"/>
      <c r="F38" s="43"/>
      <c r="G38" s="5"/>
      <c r="H38" s="5"/>
      <c r="I38" s="219"/>
      <c r="J38" s="220"/>
      <c r="K38" s="221"/>
      <c r="L38" s="222"/>
      <c r="M38" s="223"/>
      <c r="N38" s="224"/>
      <c r="O38" s="225"/>
      <c r="P38" s="225"/>
      <c r="Q38" s="225"/>
      <c r="R38" s="225"/>
      <c r="S38" s="143"/>
      <c r="T38" s="226"/>
      <c r="U38" s="143"/>
      <c r="V38" s="223"/>
      <c r="W38" s="223"/>
      <c r="X38" s="223"/>
      <c r="Y38" s="223"/>
      <c r="Z38" s="223"/>
      <c r="AA38" s="223"/>
      <c r="AB38" s="151"/>
      <c r="AC38" s="151"/>
      <c r="AD38" s="151"/>
      <c r="AE38" s="227"/>
      <c r="AF38" s="143"/>
      <c r="AG38" s="143"/>
      <c r="AH38" s="143"/>
      <c r="AI38" s="143"/>
      <c r="AJ38" s="143"/>
      <c r="AK38" s="143"/>
      <c r="AL38" s="223"/>
      <c r="AM38" s="223"/>
      <c r="AN38" s="223"/>
      <c r="AO38" s="151"/>
      <c r="AP38" s="151"/>
      <c r="AQ38" s="151"/>
      <c r="AR38" s="227"/>
      <c r="AS38" s="226"/>
      <c r="AT38" s="226"/>
      <c r="AU38" s="228"/>
      <c r="AV38" s="229"/>
      <c r="AW38" s="229"/>
      <c r="AX38" s="109"/>
      <c r="AY38" s="110"/>
      <c r="AZ38" s="125"/>
      <c r="BA38" s="5"/>
      <c r="BB38" s="230"/>
      <c r="BC38" s="231"/>
      <c r="BD38" s="231"/>
      <c r="BE38" s="231"/>
      <c r="BF38" s="231"/>
    </row>
    <row r="39" spans="2:58" s="149" customFormat="1" ht="15.75" x14ac:dyDescent="0.25">
      <c r="B39" s="135"/>
      <c r="C39" s="111"/>
      <c r="D39" s="111"/>
      <c r="E39" s="136"/>
      <c r="F39" s="43"/>
      <c r="G39" s="5"/>
      <c r="H39" s="219"/>
      <c r="I39" s="220"/>
      <c r="J39" s="221"/>
      <c r="K39" s="222"/>
      <c r="L39" s="223"/>
      <c r="M39" s="223"/>
      <c r="N39" s="225"/>
      <c r="O39" s="225"/>
      <c r="P39" s="225"/>
      <c r="Q39" s="225"/>
      <c r="R39" s="143"/>
      <c r="S39" s="226"/>
      <c r="T39" s="143"/>
      <c r="U39" s="223"/>
      <c r="V39" s="223"/>
      <c r="W39" s="223"/>
      <c r="X39" s="223"/>
      <c r="Y39" s="223"/>
      <c r="Z39" s="223"/>
      <c r="AA39" s="151"/>
      <c r="AB39" s="151"/>
      <c r="AC39" s="151"/>
      <c r="AD39" s="227"/>
      <c r="AE39" s="143"/>
      <c r="AF39" s="143"/>
      <c r="AG39" s="143"/>
      <c r="AH39" s="143"/>
      <c r="AI39" s="143"/>
      <c r="AJ39" s="143"/>
      <c r="AK39" s="223"/>
      <c r="AL39" s="223"/>
      <c r="AM39" s="223"/>
      <c r="AN39" s="151"/>
      <c r="AO39" s="151"/>
      <c r="AP39" s="151"/>
      <c r="AQ39" s="227"/>
      <c r="AR39" s="226"/>
      <c r="AS39" s="226"/>
      <c r="AT39" s="228"/>
      <c r="AU39" s="229"/>
      <c r="AV39" s="229"/>
      <c r="AW39" s="109"/>
      <c r="AX39" s="110"/>
      <c r="AY39" s="125"/>
      <c r="AZ39" s="5"/>
      <c r="BA39" s="230"/>
      <c r="BB39" s="231"/>
      <c r="BC39" s="231"/>
      <c r="BD39" s="231"/>
      <c r="BE39" s="231"/>
      <c r="BF39" s="231"/>
    </row>
    <row r="40" spans="2:58" s="149" customFormat="1" x14ac:dyDescent="0.25">
      <c r="B40" s="135"/>
      <c r="C40" s="111"/>
      <c r="D40" s="111"/>
      <c r="E40" s="136"/>
      <c r="F40" s="43"/>
      <c r="G40" s="5"/>
      <c r="H40" s="219"/>
      <c r="I40" s="232"/>
      <c r="J40" s="233"/>
      <c r="K40" s="222"/>
      <c r="L40" s="223"/>
      <c r="M40" s="22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32"/>
      <c r="AX40" s="32"/>
      <c r="AY40" s="32"/>
      <c r="AZ40" s="5"/>
      <c r="BA40" s="5"/>
      <c r="BB40" s="5"/>
      <c r="BC40" s="5"/>
      <c r="BD40" s="5"/>
      <c r="BE40" s="5"/>
      <c r="BF40" s="5"/>
    </row>
    <row r="41" spans="2:58" s="149" customFormat="1" x14ac:dyDescent="0.25">
      <c r="B41" s="135"/>
      <c r="C41" s="111"/>
      <c r="D41" s="111"/>
      <c r="E41" s="136"/>
      <c r="F41" s="43"/>
      <c r="G41" s="5"/>
      <c r="H41" s="219"/>
      <c r="I41" s="232"/>
      <c r="J41" s="233"/>
      <c r="K41" s="222"/>
      <c r="L41" s="223"/>
      <c r="M41" s="22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32"/>
      <c r="AX41" s="32"/>
      <c r="AY41" s="32"/>
      <c r="AZ41" s="5"/>
      <c r="BA41" s="5"/>
      <c r="BB41" s="5"/>
      <c r="BC41" s="5"/>
      <c r="BD41" s="5"/>
      <c r="BE41" s="5"/>
      <c r="BF41" s="5"/>
    </row>
    <row r="42" spans="2:58" s="149" customFormat="1" x14ac:dyDescent="0.25">
      <c r="B42" s="135"/>
      <c r="C42" s="111"/>
      <c r="D42" s="111"/>
      <c r="E42" s="136"/>
      <c r="F42" s="5"/>
      <c r="G42" s="5"/>
      <c r="H42" s="233"/>
      <c r="I42" s="222"/>
      <c r="J42" s="233"/>
      <c r="K42" s="222"/>
      <c r="L42" s="223"/>
      <c r="M42" s="22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32"/>
      <c r="AX42" s="32"/>
      <c r="AY42" s="32"/>
      <c r="AZ42" s="5"/>
      <c r="BA42" s="5"/>
      <c r="BB42" s="5"/>
      <c r="BC42" s="5"/>
      <c r="BD42" s="5"/>
      <c r="BE42" s="5"/>
      <c r="BF42" s="5"/>
    </row>
    <row r="43" spans="2:58" s="149" customFormat="1" x14ac:dyDescent="0.25">
      <c r="B43" s="135"/>
      <c r="C43" s="111"/>
      <c r="D43" s="111"/>
      <c r="E43" s="136"/>
      <c r="F43" s="5"/>
      <c r="G43" s="5"/>
      <c r="H43" s="233"/>
      <c r="I43" s="222"/>
      <c r="J43" s="233"/>
      <c r="K43" s="222"/>
      <c r="L43" s="223"/>
      <c r="M43" s="22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2"/>
      <c r="AY43" s="32"/>
      <c r="AZ43" s="5"/>
      <c r="BA43" s="5"/>
      <c r="BB43" s="5"/>
      <c r="BC43" s="5"/>
      <c r="BD43" s="5"/>
      <c r="BE43" s="5"/>
      <c r="BF43" s="5"/>
    </row>
    <row r="44" spans="2:58" s="149" customFormat="1" x14ac:dyDescent="0.25">
      <c r="B44" s="135"/>
      <c r="C44" s="111"/>
      <c r="D44" s="111"/>
      <c r="E44" s="136"/>
      <c r="F44" s="5"/>
      <c r="G44" s="5"/>
      <c r="H44" s="233"/>
      <c r="I44" s="222"/>
      <c r="J44" s="233"/>
      <c r="K44" s="222"/>
      <c r="L44" s="223"/>
      <c r="M44" s="22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32"/>
      <c r="AY44" s="32"/>
      <c r="AZ44" s="5"/>
      <c r="BA44" s="5"/>
      <c r="BB44" s="5"/>
      <c r="BC44" s="5"/>
      <c r="BD44" s="5"/>
      <c r="BE44" s="5"/>
      <c r="BF44" s="5"/>
    </row>
    <row r="45" spans="2:58" s="149" customFormat="1" x14ac:dyDescent="0.25">
      <c r="B45" s="135"/>
      <c r="C45" s="111"/>
      <c r="D45" s="111"/>
      <c r="E45" s="136"/>
      <c r="F45" s="5"/>
      <c r="G45" s="5"/>
      <c r="H45" s="233"/>
      <c r="I45" s="222"/>
      <c r="L45" s="223"/>
      <c r="M45" s="22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28"/>
      <c r="AF45" s="227"/>
      <c r="AG45" s="227"/>
      <c r="AH45" s="227"/>
      <c r="AI45" s="227"/>
      <c r="AJ45" s="227"/>
      <c r="AK45" s="227"/>
      <c r="AL45" s="234"/>
      <c r="AM45" s="234"/>
      <c r="AN45" s="234"/>
      <c r="AO45" s="143"/>
      <c r="AP45" s="143"/>
      <c r="AQ45" s="143"/>
      <c r="AR45" s="143"/>
      <c r="AS45" s="143"/>
      <c r="AT45" s="143"/>
      <c r="AU45" s="143"/>
      <c r="AV45" s="143"/>
      <c r="AW45" s="143"/>
      <c r="AX45" s="32"/>
      <c r="AY45" s="32"/>
      <c r="AZ45" s="5"/>
      <c r="BA45" s="5"/>
      <c r="BB45" s="5"/>
      <c r="BC45" s="5"/>
      <c r="BD45" s="5"/>
      <c r="BE45" s="5"/>
      <c r="BF45" s="5"/>
    </row>
    <row r="46" spans="2:58" s="149" customFormat="1" x14ac:dyDescent="0.25">
      <c r="B46" s="135"/>
      <c r="C46" s="111"/>
      <c r="D46" s="111"/>
      <c r="E46" s="136"/>
      <c r="F46" s="5"/>
      <c r="G46" s="5"/>
      <c r="H46" s="233"/>
      <c r="I46" s="222"/>
      <c r="L46" s="223"/>
      <c r="M46" s="22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11"/>
      <c r="AF46" s="143"/>
      <c r="AG46" s="143"/>
      <c r="AH46" s="143"/>
      <c r="AI46" s="143"/>
      <c r="AJ46" s="143"/>
      <c r="AK46" s="143"/>
      <c r="AL46" s="223"/>
      <c r="AM46" s="223"/>
      <c r="AN46" s="223"/>
      <c r="AO46" s="143"/>
      <c r="AP46" s="143"/>
      <c r="AQ46" s="143"/>
      <c r="AR46" s="143"/>
      <c r="AS46" s="143"/>
      <c r="AT46" s="143"/>
      <c r="AU46" s="143"/>
      <c r="AV46" s="143"/>
      <c r="AW46" s="143"/>
      <c r="AX46" s="32"/>
      <c r="AY46" s="32"/>
      <c r="AZ46" s="5"/>
      <c r="BA46" s="5"/>
      <c r="BB46" s="5"/>
      <c r="BC46" s="5"/>
      <c r="BD46" s="5"/>
      <c r="BE46" s="5"/>
      <c r="BF46" s="5"/>
    </row>
    <row r="47" spans="2:58" s="149" customFormat="1" x14ac:dyDescent="0.25">
      <c r="B47" s="135"/>
      <c r="C47" s="111"/>
      <c r="D47" s="111"/>
      <c r="E47" s="136"/>
      <c r="F47" s="5"/>
      <c r="G47" s="5"/>
      <c r="H47" s="233"/>
      <c r="I47" s="222"/>
      <c r="J47" s="233"/>
      <c r="K47" s="222"/>
      <c r="L47" s="223"/>
      <c r="M47" s="22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11"/>
      <c r="AF47" s="143"/>
      <c r="AG47" s="143"/>
      <c r="AH47" s="143"/>
      <c r="AI47" s="143"/>
      <c r="AJ47" s="143"/>
      <c r="AK47" s="143"/>
      <c r="AL47" s="223"/>
      <c r="AM47" s="223"/>
      <c r="AN47" s="223"/>
      <c r="AO47" s="143"/>
      <c r="AP47" s="143"/>
      <c r="AQ47" s="143"/>
      <c r="AR47" s="143"/>
      <c r="AS47" s="143"/>
      <c r="AT47" s="143"/>
      <c r="AU47" s="143"/>
      <c r="AV47" s="143"/>
      <c r="AW47" s="143"/>
      <c r="AX47" s="32"/>
      <c r="AY47" s="32"/>
      <c r="AZ47" s="5"/>
      <c r="BA47" s="5"/>
      <c r="BB47" s="5"/>
      <c r="BC47" s="5"/>
      <c r="BD47" s="5"/>
      <c r="BE47" s="5"/>
      <c r="BF47" s="5"/>
    </row>
    <row r="48" spans="2:58" s="149" customFormat="1" x14ac:dyDescent="0.25">
      <c r="B48" s="135"/>
      <c r="C48" s="111"/>
      <c r="D48" s="111"/>
      <c r="E48" s="136"/>
      <c r="F48" s="5"/>
      <c r="G48" s="5"/>
      <c r="H48" s="233"/>
      <c r="I48" s="222"/>
      <c r="L48" s="223"/>
      <c r="M48" s="22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11"/>
      <c r="AF48" s="143"/>
      <c r="AG48" s="143"/>
      <c r="AH48" s="143"/>
      <c r="AI48" s="143"/>
      <c r="AJ48" s="143"/>
      <c r="AK48" s="143"/>
      <c r="AL48" s="223"/>
      <c r="AM48" s="223"/>
      <c r="AN48" s="223"/>
      <c r="AO48" s="143"/>
      <c r="AP48" s="143"/>
      <c r="AQ48" s="143"/>
      <c r="AR48" s="143"/>
      <c r="AS48" s="143"/>
      <c r="AT48" s="143"/>
      <c r="AU48" s="143"/>
      <c r="AV48" s="143"/>
      <c r="AW48" s="143"/>
      <c r="AX48" s="32"/>
      <c r="AY48" s="32"/>
      <c r="AZ48" s="5"/>
      <c r="BA48" s="5"/>
      <c r="BB48" s="5"/>
      <c r="BC48" s="5"/>
      <c r="BD48" s="5"/>
      <c r="BE48" s="5"/>
      <c r="BF48" s="5"/>
    </row>
    <row r="49" spans="2:58" s="149" customFormat="1" x14ac:dyDescent="0.25">
      <c r="B49" s="135"/>
      <c r="C49" s="111"/>
      <c r="D49" s="111"/>
      <c r="E49" s="136"/>
      <c r="F49" s="5"/>
      <c r="G49" s="5"/>
      <c r="H49" s="233"/>
      <c r="I49" s="222"/>
      <c r="L49" s="223"/>
      <c r="M49" s="22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11"/>
      <c r="AF49" s="143"/>
      <c r="AG49" s="143"/>
      <c r="AH49" s="143"/>
      <c r="AI49" s="143"/>
      <c r="AJ49" s="143"/>
      <c r="AK49" s="143"/>
      <c r="AL49" s="223"/>
      <c r="AM49" s="223"/>
      <c r="AN49" s="235"/>
      <c r="AO49" s="143"/>
      <c r="AP49" s="143"/>
      <c r="AQ49" s="143"/>
      <c r="AR49" s="143"/>
      <c r="AS49" s="143"/>
      <c r="AT49" s="143"/>
      <c r="AU49" s="143"/>
      <c r="AV49" s="143"/>
      <c r="AW49" s="143"/>
      <c r="AX49" s="32"/>
      <c r="AY49" s="32"/>
      <c r="AZ49" s="5"/>
      <c r="BA49" s="5"/>
      <c r="BB49" s="5"/>
      <c r="BC49" s="5"/>
      <c r="BD49" s="5"/>
      <c r="BE49" s="5"/>
      <c r="BF49" s="5"/>
    </row>
    <row r="50" spans="2:58" s="149" customFormat="1" x14ac:dyDescent="0.25">
      <c r="B50" s="135"/>
      <c r="C50" s="111"/>
      <c r="D50" s="111"/>
      <c r="E50" s="136"/>
      <c r="F50" s="5"/>
      <c r="G50" s="5"/>
      <c r="H50" s="233"/>
      <c r="I50" s="222"/>
      <c r="J50" s="233"/>
      <c r="K50" s="222"/>
      <c r="L50" s="223"/>
      <c r="M50" s="22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11"/>
      <c r="AF50" s="143"/>
      <c r="AG50" s="143"/>
      <c r="AH50" s="143"/>
      <c r="AI50" s="143"/>
      <c r="AJ50" s="143"/>
      <c r="AK50" s="143"/>
      <c r="AL50" s="223"/>
      <c r="AM50" s="223"/>
      <c r="AN50" s="235"/>
      <c r="AO50" s="143"/>
      <c r="AP50" s="143"/>
      <c r="AQ50" s="143"/>
      <c r="AR50" s="143"/>
      <c r="AS50" s="143"/>
      <c r="AT50" s="143"/>
      <c r="AU50" s="143"/>
      <c r="AV50" s="143"/>
      <c r="AW50" s="143"/>
      <c r="AX50" s="32"/>
      <c r="AY50" s="32"/>
      <c r="AZ50" s="5"/>
      <c r="BA50" s="5"/>
      <c r="BB50" s="5"/>
      <c r="BC50" s="5"/>
      <c r="BD50" s="5"/>
      <c r="BE50" s="5"/>
      <c r="BF50" s="5"/>
    </row>
    <row r="51" spans="2:58" s="149" customFormat="1" x14ac:dyDescent="0.25">
      <c r="B51" s="135"/>
      <c r="C51" s="111"/>
      <c r="D51" s="111"/>
      <c r="E51" s="136"/>
      <c r="F51" s="5"/>
      <c r="G51" s="5"/>
      <c r="H51" s="233"/>
      <c r="I51" s="222"/>
      <c r="L51" s="223"/>
      <c r="M51" s="22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11"/>
      <c r="AF51" s="143"/>
      <c r="AG51" s="143"/>
      <c r="AH51" s="143"/>
      <c r="AI51" s="143"/>
      <c r="AJ51" s="143"/>
      <c r="AK51" s="143"/>
      <c r="AL51" s="223"/>
      <c r="AM51" s="223"/>
      <c r="AN51" s="223"/>
      <c r="AO51" s="143"/>
      <c r="AP51" s="143"/>
      <c r="AQ51" s="143"/>
      <c r="AR51" s="143"/>
      <c r="AS51" s="143"/>
      <c r="AT51" s="143"/>
      <c r="AU51" s="143"/>
      <c r="AV51" s="143"/>
      <c r="AW51" s="143"/>
      <c r="AX51" s="32"/>
      <c r="AY51" s="32"/>
      <c r="AZ51" s="5"/>
      <c r="BA51" s="5"/>
      <c r="BB51" s="5"/>
      <c r="BC51" s="5"/>
      <c r="BD51" s="5"/>
      <c r="BE51" s="5"/>
      <c r="BF51" s="5"/>
    </row>
    <row r="52" spans="2:58" s="149" customFormat="1" x14ac:dyDescent="0.25">
      <c r="B52" s="135"/>
      <c r="C52" s="111"/>
      <c r="D52" s="111"/>
      <c r="E52" s="136"/>
      <c r="F52" s="5"/>
      <c r="G52" s="5"/>
      <c r="H52" s="233"/>
      <c r="I52" s="222"/>
      <c r="L52" s="223"/>
      <c r="M52" s="22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36"/>
      <c r="AF52" s="143"/>
      <c r="AG52" s="143"/>
      <c r="AH52" s="143"/>
      <c r="AI52" s="143"/>
      <c r="AJ52" s="143"/>
      <c r="AK52" s="143"/>
      <c r="AL52" s="223"/>
      <c r="AM52" s="223"/>
      <c r="AN52" s="223"/>
      <c r="AO52" s="143"/>
      <c r="AP52" s="143"/>
      <c r="AQ52" s="143"/>
      <c r="AR52" s="143"/>
      <c r="AS52" s="143"/>
      <c r="AT52" s="143"/>
      <c r="AU52" s="143"/>
      <c r="AV52" s="143"/>
      <c r="AW52" s="143"/>
      <c r="AX52" s="32"/>
      <c r="AY52" s="32"/>
      <c r="AZ52" s="5"/>
      <c r="BA52" s="5"/>
      <c r="BB52" s="5"/>
      <c r="BC52" s="5"/>
      <c r="BD52" s="5"/>
      <c r="BE52" s="5"/>
      <c r="BF52" s="5"/>
    </row>
    <row r="53" spans="2:58" s="149" customFormat="1" x14ac:dyDescent="0.25">
      <c r="B53" s="135"/>
      <c r="C53" s="111"/>
      <c r="D53" s="111"/>
      <c r="E53" s="136"/>
      <c r="F53" s="5"/>
      <c r="G53" s="5"/>
      <c r="H53" s="233"/>
      <c r="I53" s="222"/>
      <c r="J53" s="233"/>
      <c r="K53" s="222"/>
      <c r="L53" s="223"/>
      <c r="M53" s="22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223"/>
      <c r="AE53" s="111"/>
      <c r="AF53" s="143"/>
      <c r="AG53" s="143"/>
      <c r="AH53" s="143"/>
      <c r="AI53" s="143"/>
      <c r="AJ53" s="143"/>
      <c r="AK53" s="143"/>
      <c r="AL53" s="223"/>
      <c r="AM53" s="223"/>
      <c r="AN53" s="236"/>
      <c r="AO53" s="143"/>
      <c r="AP53" s="143"/>
      <c r="AQ53" s="143"/>
      <c r="AR53" s="143"/>
      <c r="AS53" s="143"/>
      <c r="AT53" s="143"/>
      <c r="AU53" s="143"/>
      <c r="AV53" s="143"/>
      <c r="AW53" s="143"/>
      <c r="AX53" s="32"/>
      <c r="AY53" s="32"/>
      <c r="AZ53" s="5"/>
      <c r="BA53" s="5"/>
      <c r="BB53" s="5"/>
      <c r="BC53" s="5"/>
      <c r="BD53" s="5"/>
      <c r="BE53" s="5"/>
      <c r="BF53" s="5"/>
    </row>
    <row r="54" spans="2:58" s="149" customFormat="1" x14ac:dyDescent="0.25">
      <c r="B54" s="135"/>
      <c r="C54" s="111"/>
      <c r="D54" s="111"/>
      <c r="E54" s="136"/>
      <c r="F54" s="5"/>
      <c r="G54" s="5"/>
      <c r="H54" s="233"/>
      <c r="I54" s="222"/>
      <c r="L54" s="223"/>
      <c r="M54" s="22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223"/>
      <c r="AE54" s="111"/>
      <c r="AF54" s="143"/>
      <c r="AG54" s="143"/>
      <c r="AH54" s="143"/>
      <c r="AI54" s="143"/>
      <c r="AJ54" s="143"/>
      <c r="AK54" s="143"/>
      <c r="AL54" s="223"/>
      <c r="AM54" s="223"/>
      <c r="AN54" s="236"/>
      <c r="AO54" s="143"/>
      <c r="AP54" s="143"/>
      <c r="AQ54" s="143"/>
      <c r="AR54" s="143"/>
      <c r="AS54" s="143"/>
      <c r="AT54" s="143"/>
      <c r="AU54" s="143"/>
      <c r="AV54" s="143"/>
      <c r="AW54" s="143"/>
      <c r="AX54" s="32"/>
      <c r="AY54" s="32"/>
      <c r="AZ54" s="5"/>
      <c r="BA54" s="5"/>
      <c r="BB54" s="5"/>
      <c r="BC54" s="5"/>
      <c r="BD54" s="5"/>
      <c r="BE54" s="5"/>
      <c r="BF54" s="5"/>
    </row>
    <row r="55" spans="2:58" s="149" customFormat="1" x14ac:dyDescent="0.25">
      <c r="B55" s="135"/>
      <c r="C55" s="111"/>
      <c r="D55" s="111"/>
      <c r="E55" s="136"/>
      <c r="F55" s="5"/>
      <c r="G55" s="5"/>
      <c r="H55" s="233"/>
      <c r="I55" s="222"/>
      <c r="L55" s="223"/>
      <c r="M55" s="22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223"/>
      <c r="AE55" s="111"/>
      <c r="AF55" s="143"/>
      <c r="AG55" s="143"/>
      <c r="AH55" s="143"/>
      <c r="AI55" s="143"/>
      <c r="AJ55" s="143"/>
      <c r="AK55" s="143"/>
      <c r="AL55" s="223"/>
      <c r="AM55" s="223"/>
      <c r="AN55" s="223"/>
      <c r="AO55" s="143"/>
      <c r="AP55" s="143"/>
      <c r="AQ55" s="143"/>
      <c r="AR55" s="143"/>
      <c r="AS55" s="143"/>
      <c r="AT55" s="143"/>
      <c r="AU55" s="143"/>
      <c r="AV55" s="143"/>
      <c r="AW55" s="143"/>
      <c r="AX55" s="32"/>
      <c r="AY55" s="32"/>
      <c r="AZ55" s="5"/>
      <c r="BA55" s="5"/>
      <c r="BB55" s="5"/>
      <c r="BC55" s="5"/>
      <c r="BD55" s="5"/>
      <c r="BE55" s="5"/>
      <c r="BF55" s="5"/>
    </row>
    <row r="56" spans="2:58" s="149" customFormat="1" x14ac:dyDescent="0.25">
      <c r="B56" s="135"/>
      <c r="C56" s="111"/>
      <c r="D56" s="111"/>
      <c r="E56" s="136"/>
      <c r="F56" s="5"/>
      <c r="G56" s="5"/>
      <c r="H56" s="233"/>
      <c r="I56" s="222"/>
      <c r="J56" s="233"/>
      <c r="K56" s="222"/>
      <c r="L56" s="223"/>
      <c r="M56" s="22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32"/>
      <c r="AX56" s="32"/>
      <c r="AY56" s="32"/>
      <c r="AZ56" s="5"/>
      <c r="BA56" s="5"/>
      <c r="BB56" s="5"/>
      <c r="BC56" s="5"/>
      <c r="BD56" s="5"/>
      <c r="BE56" s="5"/>
      <c r="BF56" s="5"/>
    </row>
    <row r="57" spans="2:58" s="149" customFormat="1" x14ac:dyDescent="0.25">
      <c r="B57" s="135"/>
      <c r="C57" s="111"/>
      <c r="D57" s="111"/>
      <c r="E57" s="136"/>
      <c r="F57" s="5"/>
      <c r="G57" s="5"/>
      <c r="H57" s="233"/>
      <c r="I57" s="222"/>
      <c r="L57" s="223"/>
      <c r="M57" s="22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32"/>
      <c r="AX57" s="32"/>
      <c r="AY57" s="32"/>
      <c r="AZ57" s="5"/>
      <c r="BA57" s="5"/>
      <c r="BB57" s="5"/>
      <c r="BC57" s="5"/>
      <c r="BD57" s="5"/>
      <c r="BE57" s="5"/>
      <c r="BF57" s="5"/>
    </row>
    <row r="58" spans="2:58" s="149" customFormat="1" x14ac:dyDescent="0.25">
      <c r="B58" s="135"/>
      <c r="C58" s="111"/>
      <c r="D58" s="111"/>
      <c r="E58" s="136"/>
      <c r="F58" s="5"/>
      <c r="G58" s="5"/>
      <c r="H58" s="233"/>
      <c r="I58" s="222"/>
      <c r="L58" s="223"/>
      <c r="M58" s="22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32"/>
      <c r="AX58" s="32"/>
      <c r="AY58" s="32"/>
      <c r="AZ58" s="5"/>
      <c r="BA58" s="5"/>
      <c r="BB58" s="5"/>
      <c r="BC58" s="5"/>
      <c r="BD58" s="5"/>
      <c r="BE58" s="5"/>
      <c r="BF58" s="5"/>
    </row>
    <row r="59" spans="2:58" s="149" customFormat="1" x14ac:dyDescent="0.25">
      <c r="B59" s="135"/>
      <c r="C59" s="111"/>
      <c r="D59" s="111"/>
      <c r="E59" s="136"/>
      <c r="F59" s="43"/>
      <c r="G59" s="5"/>
      <c r="H59" s="219"/>
      <c r="I59" s="232"/>
      <c r="J59" s="233"/>
      <c r="K59" s="222"/>
      <c r="L59" s="223"/>
      <c r="M59" s="22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32"/>
      <c r="AX59" s="32"/>
      <c r="AY59" s="32"/>
      <c r="AZ59" s="5"/>
      <c r="BA59" s="5"/>
      <c r="BB59" s="5"/>
      <c r="BC59" s="5"/>
      <c r="BD59" s="5"/>
      <c r="BE59" s="5"/>
      <c r="BF59" s="5"/>
    </row>
    <row r="60" spans="2:58" s="149" customFormat="1" x14ac:dyDescent="0.25">
      <c r="B60" s="135"/>
      <c r="C60" s="111"/>
      <c r="D60" s="111"/>
      <c r="E60" s="136"/>
      <c r="F60" s="43"/>
      <c r="G60" s="5"/>
      <c r="H60" s="219"/>
      <c r="I60" s="232"/>
      <c r="J60" s="233"/>
      <c r="K60" s="222"/>
      <c r="L60" s="223"/>
      <c r="M60" s="223"/>
      <c r="N60" s="143"/>
      <c r="O60" s="143"/>
      <c r="P60" s="143"/>
      <c r="Q60" s="143"/>
      <c r="R60" s="143"/>
      <c r="S60" s="143"/>
      <c r="T60" s="143"/>
      <c r="U60" s="143"/>
      <c r="V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32"/>
      <c r="AX60" s="32"/>
      <c r="AY60" s="32"/>
      <c r="AZ60" s="5"/>
      <c r="BA60" s="5"/>
      <c r="BB60" s="5"/>
      <c r="BC60" s="5"/>
      <c r="BD60" s="5"/>
      <c r="BE60" s="5"/>
      <c r="BF60" s="5"/>
    </row>
    <row r="61" spans="2:58" s="149" customFormat="1" x14ac:dyDescent="0.25">
      <c r="B61" s="135"/>
      <c r="C61" s="111"/>
      <c r="D61" s="111"/>
      <c r="E61" s="136"/>
      <c r="F61" s="43"/>
      <c r="G61" s="5"/>
      <c r="H61" s="219"/>
      <c r="I61" s="232"/>
      <c r="J61" s="233"/>
      <c r="K61" s="222"/>
      <c r="L61" s="223"/>
      <c r="M61" s="223"/>
      <c r="N61" s="143"/>
      <c r="O61" s="143"/>
      <c r="P61" s="143"/>
      <c r="Q61" s="143"/>
      <c r="R61" s="143"/>
      <c r="S61" s="143"/>
      <c r="T61" s="143"/>
      <c r="U61" s="143"/>
      <c r="V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32"/>
      <c r="AX61" s="32"/>
      <c r="AY61" s="32"/>
      <c r="AZ61" s="5"/>
      <c r="BA61" s="5"/>
      <c r="BB61" s="5"/>
      <c r="BC61" s="5"/>
      <c r="BD61" s="5"/>
      <c r="BE61" s="5"/>
      <c r="BF61" s="5"/>
    </row>
    <row r="62" spans="2:58" s="149" customFormat="1" x14ac:dyDescent="0.25">
      <c r="B62" s="135"/>
      <c r="C62" s="111"/>
      <c r="D62" s="111"/>
      <c r="E62" s="136"/>
      <c r="F62" s="43"/>
      <c r="G62" s="5"/>
      <c r="H62" s="219"/>
      <c r="I62" s="232"/>
      <c r="J62" s="233"/>
      <c r="K62" s="222"/>
      <c r="L62" s="223"/>
      <c r="M62" s="223"/>
      <c r="N62" s="143"/>
      <c r="O62" s="143"/>
      <c r="P62" s="143"/>
      <c r="Q62" s="143"/>
      <c r="R62" s="143"/>
      <c r="S62" s="143"/>
      <c r="T62" s="143"/>
      <c r="U62" s="143"/>
      <c r="V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32"/>
      <c r="AX62" s="32"/>
      <c r="AY62" s="32"/>
      <c r="AZ62" s="5"/>
      <c r="BA62" s="5"/>
      <c r="BB62" s="5"/>
      <c r="BC62" s="5"/>
      <c r="BD62" s="5"/>
      <c r="BE62" s="5"/>
      <c r="BF62" s="5"/>
    </row>
    <row r="63" spans="2:58" s="149" customFormat="1" x14ac:dyDescent="0.25">
      <c r="B63" s="135"/>
      <c r="C63" s="111"/>
      <c r="D63" s="111"/>
      <c r="E63" s="136"/>
      <c r="F63" s="43"/>
      <c r="G63" s="5"/>
      <c r="H63" s="219"/>
      <c r="I63" s="232"/>
      <c r="J63" s="233"/>
      <c r="K63" s="222"/>
      <c r="L63" s="223"/>
      <c r="M63" s="223"/>
      <c r="N63" s="143"/>
      <c r="O63" s="143"/>
      <c r="P63" s="143"/>
      <c r="Q63" s="143"/>
      <c r="R63" s="143"/>
      <c r="S63" s="143"/>
      <c r="T63" s="143"/>
      <c r="U63" s="143"/>
      <c r="V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32"/>
      <c r="AX63" s="32"/>
      <c r="AY63" s="32"/>
      <c r="AZ63" s="5"/>
      <c r="BA63" s="5"/>
      <c r="BB63" s="5"/>
      <c r="BC63" s="5"/>
      <c r="BD63" s="5"/>
      <c r="BE63" s="5"/>
      <c r="BF63" s="5"/>
    </row>
    <row r="64" spans="2:58" s="149" customFormat="1" x14ac:dyDescent="0.25">
      <c r="B64" s="135"/>
      <c r="C64" s="111"/>
      <c r="D64" s="111"/>
      <c r="E64" s="136"/>
      <c r="F64" s="43"/>
      <c r="G64" s="5"/>
      <c r="H64" s="219"/>
      <c r="I64" s="232"/>
      <c r="J64" s="233"/>
      <c r="K64" s="222"/>
      <c r="L64" s="223"/>
      <c r="M64" s="223"/>
      <c r="N64" s="143"/>
      <c r="O64" s="143"/>
      <c r="P64" s="143"/>
      <c r="Q64" s="143"/>
      <c r="R64" s="143"/>
      <c r="S64" s="143"/>
      <c r="T64" s="143"/>
      <c r="U64" s="143"/>
      <c r="V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32"/>
      <c r="AX64" s="32"/>
      <c r="AY64" s="32"/>
      <c r="AZ64" s="5"/>
      <c r="BA64" s="5"/>
      <c r="BB64" s="5"/>
      <c r="BC64" s="5"/>
      <c r="BD64" s="5"/>
      <c r="BE64" s="5"/>
      <c r="BF64" s="5"/>
    </row>
    <row r="65" spans="2:58" s="149" customFormat="1" x14ac:dyDescent="0.25">
      <c r="B65" s="135"/>
      <c r="C65" s="111"/>
      <c r="D65" s="111"/>
      <c r="E65" s="136"/>
      <c r="F65" s="43"/>
      <c r="G65" s="5"/>
      <c r="H65" s="219"/>
      <c r="I65" s="232"/>
      <c r="J65" s="233"/>
      <c r="K65" s="222"/>
      <c r="L65" s="223"/>
      <c r="M65" s="223"/>
      <c r="N65" s="143"/>
      <c r="O65" s="143"/>
      <c r="P65" s="143"/>
      <c r="Q65" s="143"/>
      <c r="R65" s="143"/>
      <c r="S65" s="143"/>
      <c r="T65" s="143"/>
      <c r="U65" s="143"/>
      <c r="V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32"/>
      <c r="AX65" s="32"/>
      <c r="AY65" s="32"/>
      <c r="AZ65" s="5"/>
      <c r="BA65" s="5"/>
      <c r="BB65" s="5"/>
      <c r="BC65" s="5"/>
      <c r="BD65" s="5"/>
      <c r="BE65" s="5"/>
      <c r="BF65" s="5"/>
    </row>
    <row r="66" spans="2:58" s="149" customFormat="1" x14ac:dyDescent="0.25">
      <c r="B66" s="135"/>
      <c r="C66" s="111"/>
      <c r="D66" s="111"/>
      <c r="E66" s="136"/>
      <c r="F66" s="43"/>
      <c r="G66" s="5"/>
      <c r="H66" s="219"/>
      <c r="I66" s="232"/>
      <c r="J66" s="233"/>
      <c r="K66" s="222"/>
      <c r="L66" s="223"/>
      <c r="M66" s="223"/>
      <c r="N66" s="143"/>
      <c r="O66" s="143"/>
      <c r="P66" s="143"/>
      <c r="Q66" s="143"/>
      <c r="R66" s="143"/>
      <c r="S66" s="143"/>
      <c r="T66" s="143"/>
      <c r="U66" s="143"/>
      <c r="V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32"/>
      <c r="AX66" s="32"/>
      <c r="AY66" s="32"/>
      <c r="AZ66" s="5"/>
      <c r="BA66" s="5"/>
      <c r="BB66" s="5"/>
      <c r="BC66" s="5"/>
      <c r="BD66" s="5"/>
      <c r="BE66" s="5"/>
      <c r="BF66" s="5"/>
    </row>
    <row r="67" spans="2:58" s="149" customFormat="1" x14ac:dyDescent="0.25">
      <c r="B67" s="135"/>
      <c r="C67" s="111"/>
      <c r="D67" s="111"/>
      <c r="E67" s="136"/>
      <c r="F67" s="43"/>
      <c r="G67" s="5"/>
      <c r="H67" s="219"/>
      <c r="I67" s="232"/>
      <c r="J67" s="233"/>
      <c r="K67" s="222"/>
      <c r="L67" s="223"/>
      <c r="M67" s="223"/>
      <c r="N67" s="143"/>
      <c r="O67" s="143"/>
      <c r="P67" s="143"/>
      <c r="Q67" s="143"/>
      <c r="R67" s="143"/>
      <c r="S67" s="143"/>
      <c r="T67" s="143"/>
      <c r="U67" s="143"/>
      <c r="V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32"/>
      <c r="AX67" s="32"/>
      <c r="AY67" s="32"/>
      <c r="AZ67" s="5"/>
      <c r="BA67" s="5"/>
      <c r="BB67" s="5"/>
      <c r="BC67" s="5"/>
      <c r="BD67" s="5"/>
      <c r="BE67" s="5"/>
      <c r="BF67" s="5"/>
    </row>
    <row r="68" spans="2:58" s="149" customFormat="1" x14ac:dyDescent="0.25">
      <c r="B68" s="135"/>
      <c r="C68" s="111"/>
      <c r="D68" s="111"/>
      <c r="E68" s="136"/>
      <c r="F68" s="43"/>
      <c r="G68" s="5"/>
      <c r="H68" s="219"/>
      <c r="I68" s="232"/>
      <c r="J68" s="233"/>
      <c r="K68" s="222"/>
      <c r="L68" s="223"/>
      <c r="M68" s="223"/>
      <c r="N68" s="143"/>
      <c r="O68" s="143"/>
      <c r="P68" s="143"/>
      <c r="Q68" s="143"/>
      <c r="R68" s="143"/>
      <c r="S68" s="143"/>
      <c r="T68" s="143"/>
      <c r="U68" s="143"/>
      <c r="V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32"/>
      <c r="AX68" s="32"/>
      <c r="AY68" s="32"/>
      <c r="AZ68" s="5"/>
      <c r="BA68" s="5"/>
      <c r="BB68" s="5"/>
      <c r="BC68" s="5"/>
      <c r="BD68" s="5"/>
      <c r="BE68" s="5"/>
      <c r="BF68" s="5"/>
    </row>
    <row r="69" spans="2:58" s="149" customFormat="1" x14ac:dyDescent="0.25">
      <c r="B69" s="135"/>
      <c r="C69" s="111"/>
      <c r="D69" s="111"/>
      <c r="E69" s="136"/>
      <c r="F69" s="43"/>
      <c r="G69" s="5"/>
      <c r="H69" s="219"/>
      <c r="I69" s="232"/>
      <c r="J69" s="233"/>
      <c r="K69" s="222"/>
      <c r="L69" s="223"/>
      <c r="M69" s="223"/>
      <c r="N69" s="143"/>
      <c r="O69" s="143"/>
      <c r="P69" s="143"/>
      <c r="Q69" s="143"/>
      <c r="R69" s="143"/>
      <c r="S69" s="143"/>
      <c r="T69" s="143"/>
      <c r="U69" s="143"/>
      <c r="V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32"/>
      <c r="AX69" s="32"/>
      <c r="AY69" s="32"/>
      <c r="AZ69" s="5"/>
      <c r="BA69" s="5"/>
      <c r="BB69" s="5"/>
      <c r="BC69" s="5"/>
      <c r="BD69" s="5"/>
      <c r="BE69" s="5"/>
      <c r="BF69" s="5"/>
    </row>
    <row r="70" spans="2:58" s="149" customFormat="1" x14ac:dyDescent="0.25">
      <c r="B70" s="135"/>
      <c r="C70" s="111"/>
      <c r="D70" s="111"/>
      <c r="E70" s="136"/>
      <c r="F70" s="43"/>
      <c r="G70" s="5"/>
      <c r="H70" s="219"/>
      <c r="I70" s="232"/>
      <c r="J70" s="233"/>
      <c r="K70" s="222"/>
      <c r="L70" s="223"/>
      <c r="M70" s="223"/>
      <c r="N70" s="143"/>
      <c r="O70" s="143"/>
      <c r="P70" s="143"/>
      <c r="Q70" s="143"/>
      <c r="R70" s="143"/>
      <c r="S70" s="143"/>
      <c r="T70" s="143"/>
      <c r="U70" s="143"/>
      <c r="V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32"/>
      <c r="AX70" s="32"/>
      <c r="AY70" s="32"/>
      <c r="AZ70" s="5"/>
      <c r="BA70" s="5"/>
      <c r="BB70" s="5"/>
      <c r="BC70" s="5"/>
      <c r="BD70" s="5"/>
      <c r="BE70" s="5"/>
      <c r="BF70" s="5"/>
    </row>
    <row r="71" spans="2:58" s="149" customFormat="1" x14ac:dyDescent="0.25">
      <c r="B71" s="135"/>
      <c r="C71" s="111"/>
      <c r="D71" s="111"/>
      <c r="E71" s="136"/>
      <c r="F71" s="43"/>
      <c r="G71" s="5"/>
      <c r="H71" s="219"/>
      <c r="I71" s="232"/>
      <c r="J71" s="233"/>
      <c r="K71" s="222"/>
      <c r="L71" s="223"/>
      <c r="M71" s="223"/>
      <c r="N71" s="143"/>
      <c r="O71" s="143"/>
      <c r="P71" s="143"/>
      <c r="Q71" s="143"/>
      <c r="R71" s="143"/>
      <c r="S71" s="143"/>
      <c r="T71" s="143"/>
      <c r="U71" s="143"/>
      <c r="V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32"/>
      <c r="AX71" s="32"/>
      <c r="AY71" s="32"/>
      <c r="AZ71" s="5"/>
      <c r="BA71" s="5"/>
      <c r="BB71" s="5"/>
      <c r="BC71" s="5"/>
      <c r="BD71" s="5"/>
      <c r="BE71" s="5"/>
      <c r="BF71" s="5"/>
    </row>
    <row r="72" spans="2:58" s="149" customFormat="1" x14ac:dyDescent="0.25">
      <c r="B72" s="135"/>
      <c r="C72" s="111"/>
      <c r="D72" s="111"/>
      <c r="E72" s="136"/>
      <c r="F72" s="43"/>
      <c r="G72" s="5"/>
      <c r="H72" s="219"/>
      <c r="I72" s="232"/>
      <c r="J72" s="233"/>
      <c r="K72" s="222"/>
      <c r="L72" s="223"/>
      <c r="M72" s="223"/>
      <c r="N72" s="143"/>
      <c r="O72" s="143"/>
      <c r="P72" s="143"/>
      <c r="Q72" s="143"/>
      <c r="R72" s="143"/>
      <c r="S72" s="143"/>
      <c r="T72" s="143"/>
      <c r="U72" s="143"/>
      <c r="V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32"/>
      <c r="AX72" s="32"/>
      <c r="AY72" s="32"/>
      <c r="AZ72" s="5"/>
      <c r="BA72" s="5"/>
      <c r="BB72" s="5"/>
      <c r="BC72" s="5"/>
      <c r="BD72" s="5"/>
      <c r="BE72" s="5"/>
      <c r="BF72" s="5"/>
    </row>
    <row r="73" spans="2:58" s="149" customFormat="1" x14ac:dyDescent="0.25">
      <c r="B73" s="135"/>
      <c r="C73" s="111"/>
      <c r="D73" s="111"/>
      <c r="E73" s="136"/>
      <c r="F73" s="43"/>
      <c r="G73" s="5"/>
      <c r="H73" s="219"/>
      <c r="I73" s="232"/>
      <c r="J73" s="233"/>
      <c r="K73" s="222"/>
      <c r="L73" s="223"/>
      <c r="M73" s="22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32"/>
      <c r="AX73" s="32"/>
      <c r="AY73" s="32"/>
      <c r="AZ73" s="5"/>
      <c r="BA73" s="5"/>
      <c r="BB73" s="5"/>
      <c r="BC73" s="5"/>
      <c r="BD73" s="5"/>
      <c r="BE73" s="5"/>
      <c r="BF73" s="5"/>
    </row>
    <row r="74" spans="2:58" s="149" customFormat="1" x14ac:dyDescent="0.25">
      <c r="B74" s="135"/>
      <c r="C74" s="111"/>
      <c r="D74" s="111"/>
      <c r="E74" s="136"/>
      <c r="F74" s="43"/>
      <c r="G74" s="5"/>
      <c r="H74" s="219"/>
      <c r="I74" s="232"/>
      <c r="J74" s="233"/>
      <c r="K74" s="222"/>
      <c r="L74" s="223"/>
      <c r="M74" s="223"/>
      <c r="N74" s="143"/>
      <c r="O74" s="143"/>
      <c r="P74" s="143"/>
      <c r="Q74" s="143"/>
      <c r="R74" s="143"/>
      <c r="S74" s="143"/>
      <c r="T74" s="143"/>
      <c r="U74" s="143"/>
      <c r="V74" s="143"/>
      <c r="W74" s="79"/>
      <c r="X74" s="79"/>
      <c r="Y74" s="79"/>
      <c r="Z74" s="79"/>
      <c r="AA74" s="79"/>
      <c r="AB74" s="79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32"/>
      <c r="AX74" s="32"/>
      <c r="AY74" s="32"/>
      <c r="AZ74" s="5"/>
      <c r="BA74" s="5"/>
      <c r="BB74" s="5"/>
      <c r="BC74" s="5"/>
      <c r="BD74" s="5"/>
      <c r="BE74" s="5"/>
      <c r="BF74" s="5"/>
    </row>
    <row r="75" spans="2:58" s="149" customFormat="1" x14ac:dyDescent="0.25">
      <c r="B75" s="135"/>
      <c r="C75" s="111"/>
      <c r="D75" s="111"/>
      <c r="E75" s="136"/>
      <c r="F75" s="43"/>
      <c r="G75" s="5"/>
      <c r="H75" s="219"/>
      <c r="I75" s="232"/>
      <c r="J75" s="233"/>
      <c r="K75" s="222"/>
      <c r="L75" s="223"/>
      <c r="M75" s="22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51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32"/>
      <c r="AX75" s="32"/>
      <c r="AY75" s="32"/>
      <c r="AZ75" s="5"/>
      <c r="BA75" s="5"/>
      <c r="BB75" s="5"/>
      <c r="BC75" s="5"/>
      <c r="BD75" s="5"/>
      <c r="BE75" s="5"/>
      <c r="BF75" s="5"/>
    </row>
    <row r="76" spans="2:58" s="149" customFormat="1" x14ac:dyDescent="0.25">
      <c r="B76" s="135"/>
      <c r="C76" s="111"/>
      <c r="D76" s="111"/>
      <c r="E76" s="136"/>
      <c r="F76" s="43"/>
      <c r="G76" s="5"/>
      <c r="H76" s="219"/>
      <c r="I76" s="232"/>
      <c r="J76" s="233"/>
      <c r="K76" s="222"/>
      <c r="L76" s="223"/>
      <c r="M76" s="22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51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32"/>
      <c r="AX76" s="32"/>
      <c r="AY76" s="32"/>
      <c r="AZ76" s="5"/>
      <c r="BA76" s="5"/>
      <c r="BB76" s="5"/>
      <c r="BC76" s="5"/>
      <c r="BD76" s="5"/>
      <c r="BE76" s="5"/>
      <c r="BF76" s="5"/>
    </row>
    <row r="77" spans="2:58" s="149" customFormat="1" x14ac:dyDescent="0.25">
      <c r="B77" s="135"/>
      <c r="C77" s="111"/>
      <c r="D77" s="111"/>
      <c r="E77" s="136"/>
      <c r="F77" s="43"/>
      <c r="G77" s="5"/>
      <c r="H77" s="219"/>
      <c r="I77" s="232"/>
      <c r="J77" s="233"/>
      <c r="K77" s="222"/>
      <c r="L77" s="223"/>
      <c r="M77" s="22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51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32"/>
      <c r="AX77" s="32"/>
      <c r="AY77" s="32"/>
      <c r="AZ77" s="5"/>
      <c r="BA77" s="5"/>
      <c r="BB77" s="5"/>
      <c r="BC77" s="5"/>
      <c r="BD77" s="5"/>
      <c r="BE77" s="5"/>
      <c r="BF77" s="5"/>
    </row>
    <row r="78" spans="2:58" s="149" customFormat="1" x14ac:dyDescent="0.25">
      <c r="B78" s="135"/>
      <c r="C78" s="111"/>
      <c r="D78" s="111"/>
      <c r="E78" s="136"/>
      <c r="F78" s="43"/>
      <c r="G78" s="5"/>
      <c r="H78" s="219"/>
      <c r="I78" s="232"/>
      <c r="J78" s="233"/>
      <c r="K78" s="222"/>
      <c r="L78" s="223"/>
      <c r="M78" s="22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51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32"/>
      <c r="AX78" s="32"/>
      <c r="AY78" s="32"/>
      <c r="AZ78" s="5"/>
      <c r="BA78" s="5"/>
      <c r="BB78" s="5"/>
      <c r="BC78" s="5"/>
      <c r="BD78" s="5"/>
      <c r="BE78" s="5"/>
      <c r="BF78" s="5"/>
    </row>
    <row r="79" spans="2:58" s="149" customFormat="1" x14ac:dyDescent="0.25">
      <c r="B79" s="135"/>
      <c r="C79" s="111"/>
      <c r="D79" s="111"/>
      <c r="E79" s="136"/>
      <c r="F79" s="43"/>
      <c r="G79" s="5"/>
      <c r="H79" s="219"/>
      <c r="I79" s="232"/>
      <c r="J79" s="233"/>
      <c r="K79" s="222"/>
      <c r="L79" s="223"/>
      <c r="M79" s="22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51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32"/>
      <c r="AX79" s="32"/>
      <c r="AY79" s="32"/>
      <c r="AZ79" s="5"/>
      <c r="BA79" s="5"/>
      <c r="BB79" s="5"/>
      <c r="BC79" s="5"/>
      <c r="BD79" s="5"/>
      <c r="BE79" s="5"/>
      <c r="BF79" s="5"/>
    </row>
    <row r="80" spans="2:58" s="149" customFormat="1" x14ac:dyDescent="0.25">
      <c r="B80" s="135"/>
      <c r="C80" s="111"/>
      <c r="D80" s="111"/>
      <c r="E80" s="136"/>
      <c r="F80" s="43"/>
      <c r="G80" s="5"/>
      <c r="H80" s="219"/>
      <c r="I80" s="232"/>
      <c r="J80" s="233"/>
      <c r="K80" s="222"/>
      <c r="L80" s="223"/>
      <c r="M80" s="22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51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32"/>
      <c r="AX80" s="32"/>
      <c r="AY80" s="32"/>
      <c r="AZ80" s="5"/>
      <c r="BA80" s="5"/>
      <c r="BB80" s="5"/>
      <c r="BC80" s="5"/>
      <c r="BD80" s="5"/>
      <c r="BE80" s="5"/>
      <c r="BF80" s="5"/>
    </row>
    <row r="81" spans="2:58" s="149" customFormat="1" x14ac:dyDescent="0.25">
      <c r="B81" s="135"/>
      <c r="C81" s="111"/>
      <c r="D81" s="111"/>
      <c r="E81" s="136"/>
      <c r="F81" s="43"/>
      <c r="G81" s="5"/>
      <c r="H81" s="219"/>
      <c r="I81" s="232"/>
      <c r="J81" s="233"/>
      <c r="K81" s="222"/>
      <c r="L81" s="223"/>
      <c r="M81" s="22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51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32"/>
      <c r="AX81" s="32"/>
      <c r="AY81" s="32"/>
      <c r="AZ81" s="5"/>
      <c r="BA81" s="5"/>
      <c r="BB81" s="5"/>
      <c r="BC81" s="5"/>
      <c r="BD81" s="5"/>
      <c r="BE81" s="5"/>
      <c r="BF81" s="5"/>
    </row>
    <row r="82" spans="2:58" s="149" customFormat="1" x14ac:dyDescent="0.25">
      <c r="B82" s="135"/>
      <c r="C82" s="111"/>
      <c r="D82" s="111"/>
      <c r="E82" s="136"/>
      <c r="F82" s="43"/>
      <c r="G82" s="5"/>
      <c r="H82" s="219"/>
      <c r="I82" s="232"/>
      <c r="J82" s="233"/>
      <c r="K82" s="222"/>
      <c r="L82" s="223"/>
      <c r="M82" s="22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51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32"/>
      <c r="AX82" s="32"/>
      <c r="AY82" s="32"/>
      <c r="AZ82" s="5"/>
      <c r="BA82" s="5"/>
      <c r="BB82" s="5"/>
      <c r="BC82" s="5"/>
      <c r="BD82" s="5"/>
      <c r="BE82" s="5"/>
      <c r="BF82" s="5"/>
    </row>
    <row r="83" spans="2:58" s="149" customFormat="1" x14ac:dyDescent="0.25">
      <c r="B83" s="135"/>
      <c r="C83" s="111"/>
      <c r="D83" s="111"/>
      <c r="E83" s="136"/>
      <c r="F83" s="43"/>
      <c r="G83" s="5"/>
      <c r="H83" s="219"/>
      <c r="I83" s="232"/>
      <c r="J83" s="233"/>
      <c r="K83" s="222"/>
      <c r="L83" s="223"/>
      <c r="M83" s="22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51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32"/>
      <c r="AX83" s="32"/>
      <c r="AY83" s="32"/>
      <c r="AZ83" s="5"/>
      <c r="BA83" s="5"/>
      <c r="BB83" s="5"/>
      <c r="BC83" s="5"/>
      <c r="BD83" s="5"/>
      <c r="BE83" s="5"/>
      <c r="BF83" s="5"/>
    </row>
    <row r="84" spans="2:58" s="149" customFormat="1" x14ac:dyDescent="0.25">
      <c r="B84" s="135"/>
      <c r="C84" s="111"/>
      <c r="D84" s="111"/>
      <c r="E84" s="136"/>
      <c r="F84" s="43"/>
      <c r="G84" s="5"/>
      <c r="H84" s="219"/>
      <c r="I84" s="232"/>
      <c r="J84" s="233"/>
      <c r="K84" s="222"/>
      <c r="L84" s="223"/>
      <c r="M84" s="22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51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32"/>
      <c r="AX84" s="32"/>
      <c r="AY84" s="32"/>
      <c r="AZ84" s="5"/>
      <c r="BA84" s="5"/>
      <c r="BB84" s="5"/>
      <c r="BC84" s="5"/>
      <c r="BD84" s="5"/>
      <c r="BE84" s="5"/>
      <c r="BF84" s="5"/>
    </row>
    <row r="85" spans="2:58" s="149" customFormat="1" x14ac:dyDescent="0.25">
      <c r="B85" s="135"/>
      <c r="C85" s="111"/>
      <c r="D85" s="111"/>
      <c r="E85" s="136"/>
      <c r="F85" s="43"/>
      <c r="G85" s="5"/>
      <c r="H85" s="219"/>
      <c r="I85" s="232"/>
      <c r="J85" s="233"/>
      <c r="K85" s="222"/>
      <c r="L85" s="223"/>
      <c r="M85" s="22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51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32"/>
      <c r="AX85" s="32"/>
      <c r="AY85" s="32"/>
      <c r="AZ85" s="5"/>
      <c r="BA85" s="5"/>
      <c r="BB85" s="5"/>
      <c r="BC85" s="5"/>
      <c r="BD85" s="5"/>
      <c r="BE85" s="5"/>
      <c r="BF85" s="5"/>
    </row>
    <row r="86" spans="2:58" s="149" customFormat="1" x14ac:dyDescent="0.25">
      <c r="B86" s="135"/>
      <c r="C86" s="111"/>
      <c r="D86" s="111"/>
      <c r="E86" s="136"/>
      <c r="F86" s="43"/>
      <c r="G86" s="5"/>
      <c r="H86" s="219"/>
      <c r="I86" s="232"/>
      <c r="J86" s="233"/>
      <c r="K86" s="222"/>
      <c r="L86" s="223"/>
      <c r="M86" s="22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32"/>
      <c r="AX86" s="32"/>
      <c r="AY86" s="32"/>
      <c r="AZ86" s="5"/>
      <c r="BA86" s="5"/>
      <c r="BB86" s="5"/>
      <c r="BC86" s="5"/>
      <c r="BD86" s="5"/>
      <c r="BE86" s="5"/>
      <c r="BF86" s="5"/>
    </row>
    <row r="87" spans="2:58" s="149" customFormat="1" x14ac:dyDescent="0.25">
      <c r="B87" s="135"/>
      <c r="C87" s="111"/>
      <c r="D87" s="111"/>
      <c r="E87" s="136"/>
      <c r="F87" s="43"/>
      <c r="G87" s="5"/>
      <c r="H87" s="219"/>
      <c r="I87" s="232"/>
      <c r="J87" s="233"/>
      <c r="K87" s="222"/>
      <c r="L87" s="223"/>
      <c r="M87" s="22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32"/>
      <c r="AX87" s="32"/>
      <c r="AY87" s="32"/>
      <c r="AZ87" s="5"/>
      <c r="BA87" s="5"/>
      <c r="BB87" s="5"/>
      <c r="BC87" s="5"/>
      <c r="BD87" s="5"/>
      <c r="BE87" s="5"/>
      <c r="BF87" s="5"/>
    </row>
    <row r="88" spans="2:58" s="149" customFormat="1" x14ac:dyDescent="0.25">
      <c r="B88" s="135"/>
      <c r="C88" s="111"/>
      <c r="D88" s="111"/>
      <c r="E88" s="136"/>
      <c r="F88" s="43"/>
      <c r="G88" s="5"/>
      <c r="H88" s="219"/>
      <c r="I88" s="232"/>
      <c r="J88" s="233"/>
      <c r="K88" s="222"/>
      <c r="L88" s="223"/>
      <c r="M88" s="22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32"/>
      <c r="AX88" s="32"/>
      <c r="AY88" s="32"/>
      <c r="AZ88" s="5"/>
      <c r="BA88" s="5"/>
      <c r="BB88" s="5"/>
      <c r="BC88" s="5"/>
      <c r="BD88" s="5"/>
      <c r="BE88" s="5"/>
      <c r="BF88" s="5"/>
    </row>
    <row r="89" spans="2:58" s="149" customFormat="1" x14ac:dyDescent="0.25">
      <c r="B89" s="135"/>
      <c r="C89" s="111"/>
      <c r="D89" s="111"/>
      <c r="E89" s="136"/>
      <c r="F89" s="43"/>
      <c r="G89" s="5"/>
      <c r="H89" s="219"/>
      <c r="I89" s="232"/>
      <c r="J89" s="233"/>
      <c r="K89" s="222"/>
      <c r="L89" s="223"/>
      <c r="M89" s="22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32"/>
      <c r="AX89" s="32"/>
      <c r="AY89" s="32"/>
      <c r="AZ89" s="5"/>
      <c r="BA89" s="5"/>
      <c r="BB89" s="5"/>
      <c r="BC89" s="5"/>
      <c r="BD89" s="5"/>
      <c r="BE89" s="5"/>
      <c r="BF89" s="5"/>
    </row>
    <row r="90" spans="2:58" s="149" customFormat="1" x14ac:dyDescent="0.25">
      <c r="B90" s="135"/>
      <c r="C90" s="111"/>
      <c r="D90" s="111"/>
      <c r="E90" s="136"/>
      <c r="F90" s="43"/>
      <c r="G90" s="5"/>
      <c r="H90" s="219"/>
      <c r="I90" s="232"/>
      <c r="J90" s="233"/>
      <c r="K90" s="222"/>
      <c r="L90" s="223"/>
      <c r="M90" s="22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32"/>
      <c r="AX90" s="32"/>
      <c r="AY90" s="32"/>
      <c r="AZ90" s="5"/>
      <c r="BA90" s="5"/>
      <c r="BB90" s="5"/>
      <c r="BC90" s="5"/>
      <c r="BD90" s="5"/>
      <c r="BE90" s="5"/>
      <c r="BF90" s="5"/>
    </row>
    <row r="91" spans="2:58" s="149" customFormat="1" x14ac:dyDescent="0.25">
      <c r="B91" s="135"/>
      <c r="C91" s="111"/>
      <c r="D91" s="111"/>
      <c r="E91" s="136"/>
      <c r="F91" s="43"/>
      <c r="G91" s="5"/>
      <c r="H91" s="219"/>
      <c r="I91" s="232"/>
      <c r="J91" s="233"/>
      <c r="K91" s="222"/>
      <c r="L91" s="223"/>
      <c r="M91" s="22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32"/>
      <c r="AX91" s="32"/>
      <c r="AY91" s="32"/>
      <c r="AZ91" s="5"/>
      <c r="BA91" s="5"/>
      <c r="BB91" s="5"/>
      <c r="BC91" s="5"/>
      <c r="BD91" s="5"/>
      <c r="BE91" s="5"/>
      <c r="BF91" s="5"/>
    </row>
    <row r="92" spans="2:58" s="149" customFormat="1" x14ac:dyDescent="0.25">
      <c r="B92" s="135"/>
      <c r="C92" s="111"/>
      <c r="D92" s="111"/>
      <c r="E92" s="136"/>
      <c r="F92" s="43"/>
      <c r="G92" s="5"/>
      <c r="H92" s="219"/>
      <c r="I92" s="232"/>
      <c r="J92" s="233"/>
      <c r="K92" s="222"/>
      <c r="L92" s="223"/>
      <c r="M92" s="22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32"/>
      <c r="AX92" s="32"/>
      <c r="AY92" s="32"/>
      <c r="AZ92" s="5"/>
      <c r="BA92" s="5"/>
      <c r="BB92" s="5"/>
      <c r="BC92" s="5"/>
      <c r="BD92" s="5"/>
      <c r="BE92" s="5"/>
      <c r="BF92" s="5"/>
    </row>
    <row r="93" spans="2:58" s="149" customFormat="1" x14ac:dyDescent="0.25">
      <c r="B93" s="135"/>
      <c r="C93" s="111"/>
      <c r="D93" s="111"/>
      <c r="E93" s="136"/>
      <c r="F93" s="43"/>
      <c r="G93" s="5"/>
      <c r="H93" s="219"/>
      <c r="I93" s="232"/>
      <c r="J93" s="233"/>
      <c r="K93" s="222"/>
      <c r="L93" s="223"/>
      <c r="M93" s="22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32"/>
      <c r="AX93" s="32"/>
      <c r="AY93" s="32"/>
      <c r="AZ93" s="5"/>
      <c r="BA93" s="5"/>
      <c r="BB93" s="5"/>
      <c r="BC93" s="5"/>
      <c r="BD93" s="5"/>
      <c r="BE93" s="5"/>
      <c r="BF93" s="5"/>
    </row>
    <row r="94" spans="2:58" s="149" customFormat="1" x14ac:dyDescent="0.25">
      <c r="B94" s="135"/>
      <c r="C94" s="111"/>
      <c r="D94" s="111"/>
      <c r="E94" s="136"/>
      <c r="F94" s="43"/>
      <c r="G94" s="5"/>
      <c r="H94" s="219"/>
      <c r="I94" s="232"/>
      <c r="J94" s="233"/>
      <c r="K94" s="222"/>
      <c r="L94" s="223"/>
      <c r="M94" s="22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32"/>
      <c r="AX94" s="32"/>
      <c r="AY94" s="32"/>
      <c r="AZ94" s="5"/>
      <c r="BA94" s="5"/>
      <c r="BB94" s="5"/>
      <c r="BC94" s="5"/>
      <c r="BD94" s="5"/>
      <c r="BE94" s="5"/>
      <c r="BF94" s="5"/>
    </row>
    <row r="95" spans="2:58" s="149" customFormat="1" x14ac:dyDescent="0.25">
      <c r="B95" s="135"/>
      <c r="C95" s="111"/>
      <c r="D95" s="111"/>
      <c r="E95" s="136"/>
      <c r="F95" s="43"/>
      <c r="G95" s="5"/>
      <c r="H95" s="219"/>
      <c r="I95" s="232"/>
      <c r="J95" s="233"/>
      <c r="K95" s="222"/>
      <c r="L95" s="223"/>
      <c r="M95" s="22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32"/>
      <c r="AX95" s="32"/>
      <c r="AY95" s="32"/>
      <c r="AZ95" s="5"/>
      <c r="BA95" s="5"/>
      <c r="BB95" s="5"/>
      <c r="BC95" s="5"/>
      <c r="BD95" s="5"/>
      <c r="BE95" s="5"/>
      <c r="BF95" s="5"/>
    </row>
    <row r="96" spans="2:58" s="149" customFormat="1" x14ac:dyDescent="0.25">
      <c r="B96" s="135"/>
      <c r="C96" s="111"/>
      <c r="D96" s="111"/>
      <c r="E96" s="136"/>
      <c r="F96" s="43"/>
      <c r="G96" s="5"/>
      <c r="H96" s="219"/>
      <c r="I96" s="232"/>
      <c r="J96" s="233"/>
      <c r="K96" s="222"/>
      <c r="L96" s="223"/>
      <c r="M96" s="22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32"/>
      <c r="AX96" s="32"/>
      <c r="AY96" s="32"/>
      <c r="AZ96" s="5"/>
      <c r="BA96" s="5"/>
      <c r="BB96" s="5"/>
      <c r="BC96" s="5"/>
      <c r="BD96" s="5"/>
      <c r="BE96" s="5"/>
      <c r="BF96" s="5"/>
    </row>
    <row r="97" spans="2:58" s="149" customFormat="1" x14ac:dyDescent="0.25">
      <c r="B97" s="135"/>
      <c r="C97" s="111"/>
      <c r="D97" s="111"/>
      <c r="E97" s="136"/>
      <c r="F97" s="43"/>
      <c r="G97" s="5"/>
      <c r="H97" s="219"/>
      <c r="I97" s="232"/>
      <c r="J97" s="233"/>
      <c r="K97" s="222"/>
      <c r="L97" s="223"/>
      <c r="M97" s="22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32"/>
      <c r="AX97" s="32"/>
      <c r="AY97" s="32"/>
      <c r="AZ97" s="5"/>
      <c r="BA97" s="5"/>
      <c r="BB97" s="5"/>
      <c r="BC97" s="5"/>
      <c r="BD97" s="5"/>
      <c r="BE97" s="5"/>
      <c r="BF97" s="5"/>
    </row>
    <row r="98" spans="2:58" s="149" customFormat="1" x14ac:dyDescent="0.25">
      <c r="B98" s="135"/>
      <c r="C98" s="111"/>
      <c r="D98" s="111"/>
      <c r="E98" s="136"/>
      <c r="F98" s="43"/>
      <c r="G98" s="5"/>
      <c r="H98" s="219"/>
      <c r="I98" s="232"/>
      <c r="J98" s="233"/>
      <c r="K98" s="222"/>
      <c r="L98" s="223"/>
      <c r="M98" s="22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32"/>
      <c r="AX98" s="32"/>
      <c r="AY98" s="32"/>
      <c r="AZ98" s="5"/>
      <c r="BA98" s="5"/>
      <c r="BB98" s="5"/>
      <c r="BC98" s="5"/>
      <c r="BD98" s="5"/>
      <c r="BE98" s="5"/>
      <c r="BF98" s="5"/>
    </row>
    <row r="99" spans="2:58" s="149" customFormat="1" x14ac:dyDescent="0.25">
      <c r="B99" s="135"/>
      <c r="C99" s="111"/>
      <c r="D99" s="111"/>
      <c r="E99" s="136"/>
      <c r="F99" s="43"/>
      <c r="G99" s="5"/>
      <c r="H99" s="219"/>
      <c r="I99" s="232"/>
      <c r="J99" s="233"/>
      <c r="K99" s="222"/>
      <c r="L99" s="223"/>
      <c r="M99" s="22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32"/>
      <c r="AX99" s="32"/>
      <c r="AY99" s="32"/>
      <c r="AZ99" s="5"/>
      <c r="BA99" s="5"/>
      <c r="BB99" s="5"/>
      <c r="BC99" s="5"/>
      <c r="BD99" s="5"/>
      <c r="BE99" s="5"/>
      <c r="BF99" s="5"/>
    </row>
    <row r="100" spans="2:58" s="149" customFormat="1" x14ac:dyDescent="0.25">
      <c r="B100" s="135"/>
      <c r="C100" s="111"/>
      <c r="D100" s="111"/>
      <c r="E100" s="136"/>
      <c r="F100" s="43"/>
      <c r="G100" s="5"/>
      <c r="H100" s="219"/>
      <c r="I100" s="232"/>
      <c r="J100" s="233"/>
      <c r="K100" s="222"/>
      <c r="L100" s="223"/>
      <c r="M100" s="22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32"/>
      <c r="AX100" s="32"/>
      <c r="AY100" s="32"/>
      <c r="AZ100" s="5"/>
      <c r="BA100" s="5"/>
      <c r="BB100" s="5"/>
      <c r="BC100" s="5"/>
      <c r="BD100" s="5"/>
      <c r="BE100" s="5"/>
      <c r="BF100" s="5"/>
    </row>
    <row r="101" spans="2:58" s="149" customFormat="1" x14ac:dyDescent="0.25">
      <c r="B101" s="135"/>
      <c r="C101" s="111"/>
      <c r="D101" s="111"/>
      <c r="E101" s="136"/>
      <c r="F101" s="43"/>
      <c r="G101" s="5"/>
      <c r="H101" s="219"/>
      <c r="I101" s="232"/>
      <c r="J101" s="233"/>
      <c r="K101" s="222"/>
      <c r="L101" s="223"/>
      <c r="M101" s="22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32"/>
      <c r="AX101" s="32"/>
      <c r="AY101" s="32"/>
      <c r="AZ101" s="5"/>
      <c r="BA101" s="5"/>
      <c r="BB101" s="5"/>
      <c r="BC101" s="5"/>
      <c r="BD101" s="5"/>
      <c r="BE101" s="5"/>
      <c r="BF101" s="5"/>
    </row>
    <row r="102" spans="2:58" s="149" customFormat="1" x14ac:dyDescent="0.25">
      <c r="B102" s="135"/>
      <c r="C102" s="111"/>
      <c r="D102" s="111"/>
      <c r="E102" s="136"/>
      <c r="F102" s="43"/>
      <c r="G102" s="5"/>
      <c r="H102" s="219"/>
      <c r="I102" s="232"/>
      <c r="J102" s="233"/>
      <c r="K102" s="222"/>
      <c r="L102" s="223"/>
      <c r="M102" s="22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32"/>
      <c r="AX102" s="32"/>
      <c r="AY102" s="32"/>
      <c r="AZ102" s="5"/>
      <c r="BA102" s="5"/>
      <c r="BB102" s="5"/>
      <c r="BC102" s="5"/>
      <c r="BD102" s="5"/>
      <c r="BE102" s="5"/>
      <c r="BF102" s="5"/>
    </row>
    <row r="103" spans="2:58" s="149" customFormat="1" x14ac:dyDescent="0.25">
      <c r="B103" s="135"/>
      <c r="C103" s="111"/>
      <c r="D103" s="111"/>
      <c r="E103" s="136"/>
      <c r="F103" s="43"/>
      <c r="G103" s="5"/>
      <c r="H103" s="219"/>
      <c r="I103" s="232"/>
      <c r="J103" s="233"/>
      <c r="K103" s="222"/>
      <c r="L103" s="223"/>
      <c r="M103" s="22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32"/>
      <c r="AX103" s="32"/>
      <c r="AY103" s="32"/>
      <c r="AZ103" s="5"/>
      <c r="BA103" s="5"/>
      <c r="BB103" s="5"/>
      <c r="BC103" s="5"/>
      <c r="BD103" s="5"/>
      <c r="BE103" s="5"/>
      <c r="BF103" s="5"/>
    </row>
    <row r="104" spans="2:58" s="149" customFormat="1" x14ac:dyDescent="0.25">
      <c r="B104" s="135"/>
      <c r="C104" s="111"/>
      <c r="D104" s="111"/>
      <c r="E104" s="136"/>
      <c r="F104" s="43"/>
      <c r="G104" s="5"/>
      <c r="H104" s="219"/>
      <c r="I104" s="232"/>
      <c r="J104" s="233"/>
      <c r="K104" s="222"/>
      <c r="L104" s="223"/>
      <c r="M104" s="22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32"/>
      <c r="AX104" s="32"/>
      <c r="AY104" s="32"/>
      <c r="AZ104" s="5"/>
      <c r="BA104" s="5"/>
      <c r="BB104" s="5"/>
      <c r="BC104" s="5"/>
      <c r="BD104" s="5"/>
      <c r="BE104" s="5"/>
      <c r="BF104" s="5"/>
    </row>
    <row r="105" spans="2:58" s="149" customFormat="1" x14ac:dyDescent="0.25">
      <c r="B105" s="135"/>
      <c r="C105" s="111"/>
      <c r="D105" s="111"/>
      <c r="E105" s="136"/>
      <c r="F105" s="43"/>
      <c r="G105" s="5"/>
      <c r="H105" s="219"/>
      <c r="I105" s="232"/>
      <c r="J105" s="233"/>
      <c r="K105" s="222"/>
      <c r="L105" s="223"/>
      <c r="M105" s="22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32"/>
      <c r="AX105" s="32"/>
      <c r="AY105" s="32"/>
      <c r="AZ105" s="5"/>
      <c r="BA105" s="5"/>
      <c r="BB105" s="5"/>
      <c r="BC105" s="5"/>
      <c r="BD105" s="5"/>
      <c r="BE105" s="5"/>
      <c r="BF105" s="5"/>
    </row>
    <row r="106" spans="2:58" s="149" customFormat="1" x14ac:dyDescent="0.25">
      <c r="B106" s="135"/>
      <c r="C106" s="111"/>
      <c r="D106" s="111"/>
      <c r="E106" s="136"/>
      <c r="F106" s="43"/>
      <c r="G106" s="5"/>
      <c r="H106" s="219"/>
      <c r="I106" s="232"/>
      <c r="J106" s="233"/>
      <c r="K106" s="222"/>
      <c r="L106" s="223"/>
      <c r="M106" s="22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32"/>
      <c r="AX106" s="32"/>
      <c r="AY106" s="32"/>
      <c r="AZ106" s="5"/>
      <c r="BA106" s="5"/>
      <c r="BB106" s="5"/>
      <c r="BC106" s="5"/>
      <c r="BD106" s="5"/>
      <c r="BE106" s="5"/>
      <c r="BF106" s="5"/>
    </row>
    <row r="107" spans="2:58" s="149" customFormat="1" x14ac:dyDescent="0.25">
      <c r="B107" s="135"/>
      <c r="C107" s="111"/>
      <c r="D107" s="111"/>
      <c r="E107" s="136"/>
      <c r="F107" s="43"/>
      <c r="G107" s="5"/>
      <c r="H107" s="219"/>
      <c r="I107" s="232"/>
      <c r="J107" s="233"/>
      <c r="K107" s="222"/>
      <c r="L107" s="223"/>
      <c r="M107" s="22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32"/>
      <c r="AX107" s="32"/>
      <c r="AY107" s="32"/>
      <c r="AZ107" s="5"/>
      <c r="BA107" s="5"/>
      <c r="BB107" s="5"/>
      <c r="BC107" s="5"/>
      <c r="BD107" s="5"/>
      <c r="BE107" s="5"/>
      <c r="BF107" s="5"/>
    </row>
    <row r="108" spans="2:58" s="149" customFormat="1" x14ac:dyDescent="0.25">
      <c r="B108" s="135"/>
      <c r="C108" s="111"/>
      <c r="D108" s="111"/>
      <c r="E108" s="136"/>
      <c r="F108" s="43"/>
      <c r="G108" s="5"/>
      <c r="H108" s="219"/>
      <c r="I108" s="232"/>
      <c r="J108" s="233"/>
      <c r="K108" s="222"/>
      <c r="L108" s="223"/>
      <c r="M108" s="22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32"/>
      <c r="AX108" s="32"/>
      <c r="AY108" s="32"/>
      <c r="AZ108" s="5"/>
      <c r="BA108" s="5"/>
      <c r="BB108" s="5"/>
      <c r="BC108" s="5"/>
      <c r="BD108" s="5"/>
      <c r="BE108" s="5"/>
      <c r="BF108" s="5"/>
    </row>
    <row r="109" spans="2:58" s="149" customFormat="1" x14ac:dyDescent="0.25">
      <c r="B109" s="135"/>
      <c r="C109" s="111"/>
      <c r="D109" s="111"/>
      <c r="E109" s="136"/>
      <c r="F109" s="43"/>
      <c r="G109" s="5"/>
      <c r="H109" s="219"/>
      <c r="I109" s="232"/>
      <c r="J109" s="233"/>
      <c r="K109" s="222"/>
      <c r="L109" s="223"/>
      <c r="M109" s="22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32"/>
      <c r="AX109" s="32"/>
      <c r="AY109" s="32"/>
      <c r="AZ109" s="5"/>
      <c r="BA109" s="5"/>
      <c r="BB109" s="5"/>
      <c r="BC109" s="5"/>
      <c r="BD109" s="5"/>
      <c r="BE109" s="5"/>
      <c r="BF109" s="5"/>
    </row>
    <row r="110" spans="2:58" s="149" customFormat="1" x14ac:dyDescent="0.25">
      <c r="B110" s="135"/>
      <c r="C110" s="111"/>
      <c r="D110" s="111"/>
      <c r="E110" s="136"/>
      <c r="F110" s="43"/>
      <c r="G110" s="5"/>
      <c r="H110" s="219"/>
      <c r="I110" s="232"/>
      <c r="J110" s="233"/>
      <c r="K110" s="222"/>
      <c r="L110" s="223"/>
      <c r="M110" s="22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32"/>
      <c r="AX110" s="32"/>
      <c r="AY110" s="32"/>
      <c r="AZ110" s="5"/>
      <c r="BA110" s="5"/>
      <c r="BB110" s="5"/>
      <c r="BC110" s="5"/>
      <c r="BD110" s="5"/>
      <c r="BE110" s="5"/>
      <c r="BF110" s="5"/>
    </row>
    <row r="111" spans="2:58" s="149" customFormat="1" x14ac:dyDescent="0.25">
      <c r="B111" s="135"/>
      <c r="C111" s="111"/>
      <c r="D111" s="111"/>
      <c r="E111" s="136"/>
      <c r="F111" s="43"/>
      <c r="G111" s="5"/>
      <c r="H111" s="219"/>
      <c r="I111" s="232"/>
      <c r="J111" s="233"/>
      <c r="K111" s="222"/>
      <c r="L111" s="223"/>
      <c r="M111" s="22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32"/>
      <c r="AX111" s="32"/>
      <c r="AY111" s="32"/>
      <c r="AZ111" s="5"/>
      <c r="BA111" s="5"/>
      <c r="BB111" s="5"/>
      <c r="BC111" s="5"/>
      <c r="BD111" s="5"/>
      <c r="BE111" s="5"/>
      <c r="BF111" s="5"/>
    </row>
    <row r="112" spans="2:58" s="149" customFormat="1" x14ac:dyDescent="0.25">
      <c r="B112" s="135"/>
      <c r="C112" s="111"/>
      <c r="D112" s="111"/>
      <c r="E112" s="136"/>
      <c r="F112" s="43"/>
      <c r="G112" s="5"/>
      <c r="H112" s="219"/>
      <c r="I112" s="232"/>
      <c r="J112" s="233"/>
      <c r="K112" s="222"/>
      <c r="L112" s="223"/>
      <c r="M112" s="22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32"/>
      <c r="AX112" s="32"/>
      <c r="AY112" s="32"/>
      <c r="AZ112" s="5"/>
      <c r="BA112" s="5"/>
      <c r="BB112" s="5"/>
      <c r="BC112" s="5"/>
      <c r="BD112" s="5"/>
      <c r="BE112" s="5"/>
      <c r="BF112" s="5"/>
    </row>
    <row r="113" spans="2:58" s="149" customFormat="1" x14ac:dyDescent="0.25">
      <c r="B113" s="135"/>
      <c r="C113" s="111"/>
      <c r="D113" s="111"/>
      <c r="E113" s="136"/>
      <c r="F113" s="43"/>
      <c r="G113" s="5"/>
      <c r="H113" s="219"/>
      <c r="I113" s="232"/>
      <c r="J113" s="233"/>
      <c r="K113" s="222"/>
      <c r="L113" s="223"/>
      <c r="M113" s="22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32"/>
      <c r="AX113" s="32"/>
      <c r="AY113" s="32"/>
      <c r="AZ113" s="5"/>
      <c r="BA113" s="5"/>
      <c r="BB113" s="5"/>
      <c r="BC113" s="5"/>
      <c r="BD113" s="5"/>
      <c r="BE113" s="5"/>
      <c r="BF113" s="5"/>
    </row>
    <row r="114" spans="2:58" s="149" customFormat="1" x14ac:dyDescent="0.25">
      <c r="B114" s="135"/>
      <c r="C114" s="111"/>
      <c r="D114" s="111"/>
      <c r="E114" s="136"/>
      <c r="F114" s="43"/>
      <c r="G114" s="5"/>
      <c r="H114" s="219"/>
      <c r="I114" s="232"/>
      <c r="J114" s="233"/>
      <c r="K114" s="222"/>
      <c r="L114" s="223"/>
      <c r="M114" s="22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32"/>
      <c r="AX114" s="32"/>
      <c r="AY114" s="32"/>
      <c r="AZ114" s="5"/>
      <c r="BA114" s="5"/>
      <c r="BB114" s="5"/>
      <c r="BC114" s="5"/>
      <c r="BD114" s="5"/>
      <c r="BE114" s="5"/>
      <c r="BF114" s="5"/>
    </row>
    <row r="115" spans="2:58" s="149" customFormat="1" x14ac:dyDescent="0.25">
      <c r="B115" s="135"/>
      <c r="C115" s="111"/>
      <c r="D115" s="111"/>
      <c r="E115" s="136"/>
      <c r="F115" s="43"/>
      <c r="G115" s="5"/>
      <c r="H115" s="219"/>
      <c r="I115" s="232"/>
      <c r="J115" s="233"/>
      <c r="K115" s="222"/>
      <c r="L115" s="223"/>
      <c r="M115" s="22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32"/>
      <c r="AX115" s="32"/>
      <c r="AY115" s="32"/>
      <c r="AZ115" s="5"/>
      <c r="BA115" s="5"/>
      <c r="BB115" s="5"/>
      <c r="BC115" s="5"/>
      <c r="BD115" s="5"/>
      <c r="BE115" s="5"/>
      <c r="BF115" s="5"/>
    </row>
    <row r="116" spans="2:58" s="149" customFormat="1" x14ac:dyDescent="0.25">
      <c r="B116" s="135"/>
      <c r="C116" s="111"/>
      <c r="D116" s="111"/>
      <c r="E116" s="136"/>
      <c r="F116" s="43"/>
      <c r="G116" s="5"/>
      <c r="H116" s="219"/>
      <c r="I116" s="232"/>
      <c r="J116" s="233"/>
      <c r="K116" s="222"/>
      <c r="L116" s="223"/>
      <c r="M116" s="22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32"/>
      <c r="AX116" s="32"/>
      <c r="AY116" s="32"/>
      <c r="AZ116" s="5"/>
      <c r="BA116" s="5"/>
      <c r="BB116" s="5"/>
      <c r="BC116" s="5"/>
      <c r="BD116" s="5"/>
      <c r="BE116" s="5"/>
      <c r="BF116" s="5"/>
    </row>
    <row r="117" spans="2:58" s="149" customFormat="1" x14ac:dyDescent="0.25">
      <c r="B117" s="135"/>
      <c r="C117" s="111"/>
      <c r="D117" s="111"/>
      <c r="E117" s="136"/>
      <c r="F117" s="43"/>
      <c r="G117" s="5"/>
      <c r="H117" s="219"/>
      <c r="I117" s="232"/>
      <c r="J117" s="233"/>
      <c r="K117" s="222"/>
      <c r="L117" s="223"/>
      <c r="M117" s="22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32"/>
      <c r="AX117" s="32"/>
      <c r="AY117" s="32"/>
      <c r="AZ117" s="5"/>
      <c r="BA117" s="5"/>
      <c r="BB117" s="5"/>
      <c r="BC117" s="5"/>
      <c r="BD117" s="5"/>
      <c r="BE117" s="5"/>
      <c r="BF117" s="5"/>
    </row>
    <row r="118" spans="2:58" s="149" customFormat="1" x14ac:dyDescent="0.25">
      <c r="B118" s="135"/>
      <c r="C118" s="111"/>
      <c r="D118" s="111"/>
      <c r="E118" s="136"/>
      <c r="F118" s="43"/>
      <c r="G118" s="5"/>
      <c r="H118" s="219"/>
      <c r="I118" s="232"/>
      <c r="J118" s="233"/>
      <c r="K118" s="222"/>
      <c r="L118" s="223"/>
      <c r="M118" s="22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32"/>
      <c r="AX118" s="32"/>
      <c r="AY118" s="32"/>
      <c r="AZ118" s="5"/>
      <c r="BA118" s="5"/>
      <c r="BB118" s="5"/>
      <c r="BC118" s="5"/>
      <c r="BD118" s="5"/>
      <c r="BE118" s="5"/>
      <c r="BF118" s="5"/>
    </row>
    <row r="119" spans="2:58" s="149" customFormat="1" x14ac:dyDescent="0.25">
      <c r="B119" s="135"/>
      <c r="C119" s="111"/>
      <c r="D119" s="111"/>
      <c r="E119" s="136"/>
      <c r="F119" s="43"/>
      <c r="G119" s="5"/>
      <c r="H119" s="219"/>
      <c r="I119" s="232"/>
      <c r="J119" s="233"/>
      <c r="K119" s="222"/>
      <c r="L119" s="223"/>
      <c r="M119" s="22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32"/>
      <c r="AX119" s="32"/>
      <c r="AY119" s="32"/>
      <c r="AZ119" s="5"/>
      <c r="BA119" s="5"/>
      <c r="BB119" s="5"/>
      <c r="BC119" s="5"/>
      <c r="BD119" s="5"/>
      <c r="BE119" s="5"/>
      <c r="BF119" s="5"/>
    </row>
    <row r="120" spans="2:58" s="149" customFormat="1" x14ac:dyDescent="0.25">
      <c r="B120" s="135"/>
      <c r="C120" s="111"/>
      <c r="D120" s="111"/>
      <c r="E120" s="136"/>
      <c r="F120" s="43"/>
      <c r="G120" s="5"/>
      <c r="H120" s="219"/>
      <c r="I120" s="232"/>
      <c r="J120" s="233"/>
      <c r="K120" s="222"/>
      <c r="L120" s="223"/>
      <c r="M120" s="22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32"/>
      <c r="AX120" s="32"/>
      <c r="AY120" s="32"/>
      <c r="AZ120" s="5"/>
      <c r="BA120" s="5"/>
      <c r="BB120" s="5"/>
      <c r="BC120" s="5"/>
      <c r="BD120" s="5"/>
      <c r="BE120" s="5"/>
      <c r="BF120" s="5"/>
    </row>
    <row r="121" spans="2:58" s="149" customFormat="1" x14ac:dyDescent="0.25">
      <c r="B121" s="135"/>
      <c r="C121" s="111"/>
      <c r="D121" s="111"/>
      <c r="E121" s="136"/>
      <c r="F121" s="43"/>
      <c r="G121" s="5"/>
      <c r="H121" s="219"/>
      <c r="I121" s="232"/>
      <c r="J121" s="233"/>
      <c r="K121" s="222"/>
      <c r="L121" s="223"/>
      <c r="M121" s="22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32"/>
      <c r="AX121" s="32"/>
      <c r="AY121" s="32"/>
      <c r="AZ121" s="5"/>
      <c r="BA121" s="5"/>
      <c r="BB121" s="5"/>
      <c r="BC121" s="5"/>
      <c r="BD121" s="5"/>
      <c r="BE121" s="5"/>
      <c r="BF121" s="5"/>
    </row>
    <row r="122" spans="2:58" s="149" customFormat="1" x14ac:dyDescent="0.25">
      <c r="B122" s="135"/>
      <c r="C122" s="111"/>
      <c r="D122" s="111"/>
      <c r="E122" s="136"/>
      <c r="F122" s="43"/>
      <c r="G122" s="5"/>
      <c r="H122" s="219"/>
      <c r="I122" s="232"/>
      <c r="J122" s="233"/>
      <c r="K122" s="222"/>
      <c r="L122" s="223"/>
      <c r="M122" s="22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32"/>
      <c r="AX122" s="32"/>
      <c r="AY122" s="32"/>
      <c r="AZ122" s="5"/>
      <c r="BA122" s="5"/>
      <c r="BB122" s="5"/>
      <c r="BC122" s="5"/>
      <c r="BD122" s="5"/>
      <c r="BE122" s="5"/>
      <c r="BF122" s="5"/>
    </row>
    <row r="123" spans="2:58" s="149" customFormat="1" x14ac:dyDescent="0.25">
      <c r="B123" s="135"/>
      <c r="C123" s="111"/>
      <c r="D123" s="111"/>
      <c r="E123" s="136"/>
      <c r="F123" s="43"/>
      <c r="G123" s="5"/>
      <c r="H123" s="219"/>
      <c r="I123" s="232"/>
      <c r="J123" s="233"/>
      <c r="K123" s="222"/>
      <c r="L123" s="223"/>
      <c r="M123" s="22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32"/>
      <c r="AX123" s="32"/>
      <c r="AY123" s="32"/>
      <c r="AZ123" s="5"/>
      <c r="BA123" s="5"/>
      <c r="BB123" s="5"/>
      <c r="BC123" s="5"/>
      <c r="BD123" s="5"/>
      <c r="BE123" s="5"/>
      <c r="BF123" s="5"/>
    </row>
    <row r="124" spans="2:58" s="149" customFormat="1" x14ac:dyDescent="0.25">
      <c r="B124" s="135"/>
      <c r="C124" s="111"/>
      <c r="D124" s="111"/>
      <c r="E124" s="136"/>
      <c r="F124" s="43"/>
      <c r="G124" s="5"/>
      <c r="H124" s="219"/>
      <c r="I124" s="232"/>
      <c r="J124" s="233"/>
      <c r="K124" s="222"/>
      <c r="L124" s="223"/>
      <c r="M124" s="22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32"/>
      <c r="AX124" s="32"/>
      <c r="AY124" s="32"/>
      <c r="AZ124" s="5"/>
      <c r="BA124" s="5"/>
      <c r="BB124" s="5"/>
      <c r="BC124" s="5"/>
      <c r="BD124" s="5"/>
      <c r="BE124" s="5"/>
      <c r="BF124" s="5"/>
    </row>
    <row r="125" spans="2:58" s="149" customFormat="1" x14ac:dyDescent="0.25">
      <c r="B125" s="135"/>
      <c r="C125" s="111"/>
      <c r="D125" s="111"/>
      <c r="E125" s="136"/>
      <c r="F125" s="43"/>
      <c r="G125" s="5"/>
      <c r="H125" s="219"/>
      <c r="I125" s="232"/>
      <c r="J125" s="233"/>
      <c r="K125" s="222"/>
      <c r="L125" s="223"/>
      <c r="M125" s="22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32"/>
      <c r="AX125" s="32"/>
      <c r="AY125" s="32"/>
      <c r="AZ125" s="5"/>
      <c r="BA125" s="5"/>
      <c r="BB125" s="5"/>
      <c r="BC125" s="5"/>
      <c r="BD125" s="5"/>
      <c r="BE125" s="5"/>
      <c r="BF125" s="5"/>
    </row>
    <row r="126" spans="2:58" s="149" customFormat="1" x14ac:dyDescent="0.25">
      <c r="B126" s="135"/>
      <c r="C126" s="111"/>
      <c r="D126" s="111"/>
      <c r="E126" s="136"/>
      <c r="F126" s="43"/>
      <c r="G126" s="5"/>
      <c r="H126" s="219"/>
      <c r="I126" s="232"/>
      <c r="J126" s="233"/>
      <c r="K126" s="222"/>
      <c r="L126" s="223"/>
      <c r="M126" s="22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32"/>
      <c r="AX126" s="32"/>
      <c r="AY126" s="32"/>
      <c r="AZ126" s="5"/>
      <c r="BA126" s="5"/>
      <c r="BB126" s="5"/>
      <c r="BC126" s="5"/>
      <c r="BD126" s="5"/>
      <c r="BE126" s="5"/>
      <c r="BF126" s="5"/>
    </row>
    <row r="127" spans="2:58" s="149" customFormat="1" x14ac:dyDescent="0.25">
      <c r="B127" s="135"/>
      <c r="C127" s="111"/>
      <c r="D127" s="111"/>
      <c r="E127" s="136"/>
      <c r="F127" s="43"/>
      <c r="G127" s="5"/>
      <c r="H127" s="219"/>
      <c r="I127" s="232"/>
      <c r="J127" s="233"/>
      <c r="K127" s="222"/>
      <c r="L127" s="223"/>
      <c r="M127" s="22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32"/>
      <c r="AX127" s="32"/>
      <c r="AY127" s="32"/>
      <c r="AZ127" s="5"/>
      <c r="BA127" s="5"/>
      <c r="BB127" s="5"/>
      <c r="BC127" s="5"/>
      <c r="BD127" s="5"/>
      <c r="BE127" s="5"/>
      <c r="BF127" s="5"/>
    </row>
    <row r="128" spans="2:58" s="149" customFormat="1" x14ac:dyDescent="0.25">
      <c r="B128" s="135"/>
      <c r="C128" s="111"/>
      <c r="D128" s="111"/>
      <c r="E128" s="136"/>
      <c r="F128" s="43"/>
      <c r="G128" s="5"/>
      <c r="H128" s="219"/>
      <c r="I128" s="232"/>
      <c r="J128" s="233"/>
      <c r="K128" s="222"/>
      <c r="L128" s="223"/>
      <c r="M128" s="22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32"/>
      <c r="AX128" s="32"/>
      <c r="AY128" s="32"/>
      <c r="AZ128" s="5"/>
      <c r="BA128" s="5"/>
      <c r="BB128" s="5"/>
      <c r="BC128" s="5"/>
      <c r="BD128" s="5"/>
      <c r="BE128" s="5"/>
      <c r="BF128" s="5"/>
    </row>
    <row r="129" spans="2:58" s="149" customFormat="1" x14ac:dyDescent="0.25">
      <c r="B129" s="135"/>
      <c r="C129" s="111"/>
      <c r="D129" s="111"/>
      <c r="E129" s="136"/>
      <c r="F129" s="43"/>
      <c r="G129" s="5"/>
      <c r="H129" s="219"/>
      <c r="I129" s="232"/>
      <c r="J129" s="233"/>
      <c r="K129" s="222"/>
      <c r="L129" s="223"/>
      <c r="M129" s="22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32"/>
      <c r="AX129" s="32"/>
      <c r="AY129" s="32"/>
      <c r="AZ129" s="5"/>
      <c r="BA129" s="5"/>
      <c r="BB129" s="5"/>
      <c r="BC129" s="5"/>
      <c r="BD129" s="5"/>
      <c r="BE129" s="5"/>
      <c r="BF129" s="5"/>
    </row>
    <row r="130" spans="2:58" s="149" customFormat="1" x14ac:dyDescent="0.25">
      <c r="B130" s="135"/>
      <c r="C130" s="111"/>
      <c r="D130" s="111"/>
      <c r="E130" s="136"/>
      <c r="F130" s="43"/>
      <c r="G130" s="5"/>
      <c r="H130" s="219"/>
      <c r="I130" s="232"/>
      <c r="J130" s="233"/>
      <c r="K130" s="222"/>
      <c r="L130" s="223"/>
      <c r="M130" s="22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32"/>
      <c r="AX130" s="32"/>
      <c r="AY130" s="32"/>
      <c r="AZ130" s="5"/>
      <c r="BA130" s="5"/>
      <c r="BB130" s="5"/>
      <c r="BC130" s="5"/>
      <c r="BD130" s="5"/>
      <c r="BE130" s="5"/>
      <c r="BF130" s="5"/>
    </row>
    <row r="131" spans="2:58" s="149" customFormat="1" x14ac:dyDescent="0.25">
      <c r="B131" s="135"/>
      <c r="C131" s="111"/>
      <c r="D131" s="111"/>
      <c r="E131" s="136"/>
      <c r="F131" s="43"/>
      <c r="G131" s="5"/>
      <c r="H131" s="219"/>
      <c r="I131" s="232"/>
      <c r="J131" s="233"/>
      <c r="K131" s="222"/>
      <c r="L131" s="223"/>
      <c r="M131" s="22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32"/>
      <c r="AX131" s="32"/>
      <c r="AY131" s="32"/>
      <c r="AZ131" s="5"/>
      <c r="BA131" s="5"/>
      <c r="BB131" s="5"/>
      <c r="BC131" s="5"/>
      <c r="BD131" s="5"/>
      <c r="BE131" s="5"/>
      <c r="BF131" s="5"/>
    </row>
    <row r="132" spans="2:58" s="149" customFormat="1" x14ac:dyDescent="0.25">
      <c r="B132" s="135"/>
      <c r="C132" s="111"/>
      <c r="D132" s="111"/>
      <c r="E132" s="136"/>
      <c r="F132" s="43"/>
      <c r="G132" s="5"/>
      <c r="H132" s="219"/>
      <c r="I132" s="232"/>
      <c r="J132" s="233"/>
      <c r="K132" s="222"/>
      <c r="L132" s="223"/>
      <c r="M132" s="22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32"/>
      <c r="AX132" s="32"/>
      <c r="AY132" s="32"/>
      <c r="AZ132" s="5"/>
      <c r="BA132" s="5"/>
      <c r="BB132" s="5"/>
      <c r="BC132" s="5"/>
      <c r="BD132" s="5"/>
      <c r="BE132" s="5"/>
      <c r="BF132" s="5"/>
    </row>
    <row r="133" spans="2:58" s="149" customFormat="1" x14ac:dyDescent="0.25">
      <c r="B133" s="135"/>
      <c r="C133" s="111"/>
      <c r="D133" s="111"/>
      <c r="E133" s="136"/>
      <c r="F133" s="43"/>
      <c r="G133" s="5"/>
      <c r="H133" s="219"/>
      <c r="I133" s="232"/>
      <c r="J133" s="233"/>
      <c r="K133" s="222"/>
      <c r="L133" s="223"/>
      <c r="M133" s="22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32"/>
      <c r="AX133" s="32"/>
      <c r="AY133" s="32"/>
      <c r="AZ133" s="5"/>
      <c r="BA133" s="5"/>
      <c r="BB133" s="5"/>
      <c r="BC133" s="5"/>
      <c r="BD133" s="5"/>
      <c r="BE133" s="5"/>
      <c r="BF133" s="5"/>
    </row>
    <row r="134" spans="2:58" s="149" customFormat="1" x14ac:dyDescent="0.25">
      <c r="B134" s="135"/>
      <c r="C134" s="111"/>
      <c r="D134" s="111"/>
      <c r="E134" s="136"/>
      <c r="F134" s="43"/>
      <c r="G134" s="5"/>
      <c r="H134" s="219"/>
      <c r="I134" s="232"/>
      <c r="J134" s="233"/>
      <c r="K134" s="222"/>
      <c r="L134" s="223"/>
      <c r="M134" s="22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32"/>
      <c r="AX134" s="32"/>
      <c r="AY134" s="32"/>
      <c r="AZ134" s="5"/>
      <c r="BA134" s="5"/>
      <c r="BB134" s="5"/>
      <c r="BC134" s="5"/>
      <c r="BD134" s="5"/>
      <c r="BE134" s="5"/>
      <c r="BF134" s="5"/>
    </row>
    <row r="135" spans="2:58" s="149" customFormat="1" x14ac:dyDescent="0.25">
      <c r="B135" s="135"/>
      <c r="C135" s="111"/>
      <c r="D135" s="111"/>
      <c r="E135" s="136"/>
      <c r="F135" s="43"/>
      <c r="G135" s="5"/>
      <c r="H135" s="219"/>
      <c r="I135" s="232"/>
      <c r="J135" s="233"/>
      <c r="K135" s="222"/>
      <c r="L135" s="223"/>
      <c r="M135" s="22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32"/>
      <c r="AX135" s="32"/>
      <c r="AY135" s="32"/>
      <c r="AZ135" s="5"/>
      <c r="BA135" s="5"/>
      <c r="BB135" s="5"/>
      <c r="BC135" s="5"/>
      <c r="BD135" s="5"/>
      <c r="BE135" s="5"/>
      <c r="BF135" s="5"/>
    </row>
    <row r="136" spans="2:58" s="149" customFormat="1" x14ac:dyDescent="0.25">
      <c r="B136" s="135"/>
      <c r="C136" s="111"/>
      <c r="D136" s="111"/>
      <c r="E136" s="136"/>
      <c r="F136" s="43"/>
      <c r="G136" s="5"/>
      <c r="H136" s="219"/>
      <c r="I136" s="232"/>
      <c r="J136" s="233"/>
      <c r="K136" s="222"/>
      <c r="L136" s="223"/>
      <c r="M136" s="22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32"/>
      <c r="AX136" s="32"/>
      <c r="AY136" s="32"/>
      <c r="AZ136" s="5"/>
      <c r="BA136" s="5"/>
      <c r="BB136" s="5"/>
      <c r="BC136" s="5"/>
      <c r="BD136" s="5"/>
      <c r="BE136" s="5"/>
      <c r="BF136" s="5"/>
    </row>
    <row r="137" spans="2:58" s="149" customFormat="1" x14ac:dyDescent="0.25">
      <c r="B137" s="135"/>
      <c r="C137" s="111"/>
      <c r="D137" s="111"/>
      <c r="E137" s="136"/>
      <c r="F137" s="43"/>
      <c r="G137" s="5"/>
      <c r="H137" s="219"/>
      <c r="I137" s="232"/>
      <c r="J137" s="233"/>
      <c r="K137" s="222"/>
      <c r="L137" s="223"/>
      <c r="M137" s="22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32"/>
      <c r="AX137" s="32"/>
      <c r="AY137" s="32"/>
      <c r="AZ137" s="5"/>
      <c r="BA137" s="5"/>
      <c r="BB137" s="5"/>
      <c r="BC137" s="5"/>
      <c r="BD137" s="5"/>
      <c r="BE137" s="5"/>
      <c r="BF137" s="5"/>
    </row>
    <row r="138" spans="2:58" s="149" customFormat="1" x14ac:dyDescent="0.25">
      <c r="B138" s="135"/>
      <c r="C138" s="111"/>
      <c r="D138" s="111"/>
      <c r="E138" s="136"/>
      <c r="F138" s="43"/>
      <c r="G138" s="5"/>
      <c r="H138" s="219"/>
      <c r="I138" s="232"/>
      <c r="J138" s="233"/>
      <c r="K138" s="222"/>
      <c r="L138" s="223"/>
      <c r="M138" s="22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32"/>
      <c r="AX138" s="32"/>
      <c r="AY138" s="32"/>
      <c r="AZ138" s="5"/>
      <c r="BA138" s="5"/>
      <c r="BB138" s="5"/>
      <c r="BC138" s="5"/>
      <c r="BD138" s="5"/>
      <c r="BE138" s="5"/>
      <c r="BF138" s="5"/>
    </row>
    <row r="139" spans="2:58" s="149" customFormat="1" x14ac:dyDescent="0.25">
      <c r="B139" s="135"/>
      <c r="C139" s="111"/>
      <c r="D139" s="111"/>
      <c r="E139" s="136"/>
      <c r="F139" s="43"/>
      <c r="G139" s="5"/>
      <c r="H139" s="219"/>
      <c r="I139" s="232"/>
      <c r="J139" s="233"/>
      <c r="K139" s="222"/>
      <c r="L139" s="223"/>
      <c r="M139" s="22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32"/>
      <c r="AX139" s="32"/>
      <c r="AY139" s="32"/>
      <c r="AZ139" s="5"/>
      <c r="BA139" s="5"/>
      <c r="BB139" s="5"/>
      <c r="BC139" s="5"/>
      <c r="BD139" s="5"/>
      <c r="BE139" s="5"/>
      <c r="BF139" s="5"/>
    </row>
    <row r="140" spans="2:58" s="149" customFormat="1" x14ac:dyDescent="0.25">
      <c r="B140" s="135"/>
      <c r="C140" s="111"/>
      <c r="D140" s="111"/>
      <c r="E140" s="136"/>
      <c r="F140" s="43"/>
      <c r="G140" s="5"/>
      <c r="H140" s="219"/>
      <c r="I140" s="232"/>
      <c r="J140" s="233"/>
      <c r="K140" s="222"/>
      <c r="L140" s="223"/>
      <c r="M140" s="22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32"/>
      <c r="AX140" s="32"/>
      <c r="AY140" s="32"/>
      <c r="AZ140" s="5"/>
      <c r="BA140" s="5"/>
      <c r="BB140" s="5"/>
      <c r="BC140" s="5"/>
      <c r="BD140" s="5"/>
      <c r="BE140" s="5"/>
      <c r="BF140" s="5"/>
    </row>
    <row r="141" spans="2:58" s="149" customFormat="1" x14ac:dyDescent="0.25">
      <c r="B141" s="135"/>
      <c r="C141" s="111"/>
      <c r="D141" s="111"/>
      <c r="E141" s="136"/>
      <c r="F141" s="43"/>
      <c r="G141" s="5"/>
      <c r="H141" s="219"/>
      <c r="I141" s="232"/>
      <c r="J141" s="233"/>
      <c r="K141" s="222"/>
      <c r="L141" s="223"/>
      <c r="M141" s="22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32"/>
      <c r="AX141" s="32"/>
      <c r="AY141" s="32"/>
      <c r="AZ141" s="5"/>
      <c r="BA141" s="5"/>
      <c r="BB141" s="5"/>
      <c r="BC141" s="5"/>
      <c r="BD141" s="5"/>
      <c r="BE141" s="5"/>
      <c r="BF141" s="5"/>
    </row>
    <row r="142" spans="2:58" s="149" customFormat="1" x14ac:dyDescent="0.25">
      <c r="B142" s="135"/>
      <c r="C142" s="111"/>
      <c r="D142" s="111"/>
      <c r="E142" s="136"/>
      <c r="F142" s="43"/>
      <c r="G142" s="5"/>
      <c r="H142" s="219"/>
      <c r="I142" s="232"/>
      <c r="J142" s="233"/>
      <c r="K142" s="222"/>
      <c r="L142" s="223"/>
      <c r="M142" s="22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32"/>
      <c r="AX142" s="32"/>
      <c r="AY142" s="32"/>
      <c r="AZ142" s="5"/>
      <c r="BA142" s="5"/>
      <c r="BB142" s="5"/>
      <c r="BC142" s="5"/>
      <c r="BD142" s="5"/>
      <c r="BE142" s="5"/>
      <c r="BF142" s="5"/>
    </row>
    <row r="143" spans="2:58" s="149" customFormat="1" x14ac:dyDescent="0.25">
      <c r="B143" s="135"/>
      <c r="C143" s="111"/>
      <c r="D143" s="111"/>
      <c r="E143" s="136"/>
      <c r="F143" s="43"/>
      <c r="G143" s="5"/>
      <c r="H143" s="219"/>
      <c r="I143" s="232"/>
      <c r="J143" s="233"/>
      <c r="K143" s="222"/>
      <c r="L143" s="223"/>
      <c r="M143" s="22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32"/>
      <c r="AX143" s="32"/>
      <c r="AY143" s="32"/>
      <c r="AZ143" s="5"/>
      <c r="BA143" s="5"/>
      <c r="BB143" s="5"/>
      <c r="BC143" s="5"/>
      <c r="BD143" s="5"/>
      <c r="BE143" s="5"/>
      <c r="BF143" s="5"/>
    </row>
    <row r="144" spans="2:58" s="149" customFormat="1" x14ac:dyDescent="0.25">
      <c r="B144" s="135"/>
      <c r="C144" s="111"/>
      <c r="D144" s="111"/>
      <c r="E144" s="136"/>
      <c r="F144" s="43"/>
      <c r="G144" s="5"/>
      <c r="H144" s="219"/>
      <c r="I144" s="232"/>
      <c r="J144" s="233"/>
      <c r="K144" s="222"/>
      <c r="L144" s="223"/>
      <c r="M144" s="22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32"/>
      <c r="AX144" s="32"/>
      <c r="AY144" s="32"/>
      <c r="AZ144" s="5"/>
      <c r="BA144" s="5"/>
      <c r="BB144" s="5"/>
      <c r="BC144" s="5"/>
      <c r="BD144" s="5"/>
      <c r="BE144" s="5"/>
      <c r="BF144" s="5"/>
    </row>
    <row r="145" spans="2:58" s="149" customFormat="1" x14ac:dyDescent="0.25">
      <c r="B145" s="135"/>
      <c r="C145" s="111"/>
      <c r="D145" s="111"/>
      <c r="E145" s="136"/>
      <c r="F145" s="43"/>
      <c r="G145" s="5"/>
      <c r="H145" s="219"/>
      <c r="I145" s="232"/>
      <c r="J145" s="233"/>
      <c r="K145" s="222"/>
      <c r="L145" s="223"/>
      <c r="M145" s="22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32"/>
      <c r="AX145" s="32"/>
      <c r="AY145" s="32"/>
      <c r="AZ145" s="5"/>
      <c r="BA145" s="5"/>
      <c r="BB145" s="5"/>
      <c r="BC145" s="5"/>
      <c r="BD145" s="5"/>
      <c r="BE145" s="5"/>
      <c r="BF145" s="5"/>
    </row>
    <row r="146" spans="2:58" s="149" customFormat="1" x14ac:dyDescent="0.25">
      <c r="B146" s="135"/>
      <c r="C146" s="111"/>
      <c r="D146" s="111"/>
      <c r="E146" s="136"/>
      <c r="F146" s="43"/>
      <c r="G146" s="5"/>
      <c r="H146" s="219"/>
      <c r="I146" s="232"/>
      <c r="J146" s="233"/>
      <c r="K146" s="222"/>
      <c r="L146" s="223"/>
      <c r="M146" s="22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32"/>
      <c r="AX146" s="32"/>
      <c r="AY146" s="32"/>
      <c r="AZ146" s="5"/>
      <c r="BA146" s="5"/>
      <c r="BB146" s="5"/>
      <c r="BC146" s="5"/>
      <c r="BD146" s="5"/>
      <c r="BE146" s="5"/>
      <c r="BF146" s="5"/>
    </row>
    <row r="147" spans="2:58" s="149" customFormat="1" x14ac:dyDescent="0.25">
      <c r="B147" s="135"/>
      <c r="C147" s="111"/>
      <c r="D147" s="111"/>
      <c r="E147" s="136"/>
      <c r="F147" s="43"/>
      <c r="G147" s="5"/>
      <c r="H147" s="219"/>
      <c r="I147" s="232"/>
      <c r="J147" s="233"/>
      <c r="K147" s="222"/>
      <c r="L147" s="223"/>
      <c r="M147" s="22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32"/>
      <c r="AX147" s="32"/>
      <c r="AY147" s="32"/>
      <c r="AZ147" s="5"/>
      <c r="BA147" s="5"/>
      <c r="BB147" s="5"/>
      <c r="BC147" s="5"/>
      <c r="BD147" s="5"/>
      <c r="BE147" s="5"/>
      <c r="BF147" s="5"/>
    </row>
    <row r="148" spans="2:58" s="149" customFormat="1" x14ac:dyDescent="0.25">
      <c r="B148" s="135"/>
      <c r="C148" s="111"/>
      <c r="D148" s="111"/>
      <c r="E148" s="136"/>
      <c r="F148" s="43"/>
      <c r="G148" s="5"/>
      <c r="H148" s="219"/>
      <c r="I148" s="232"/>
      <c r="J148" s="233"/>
      <c r="K148" s="222"/>
      <c r="L148" s="223"/>
      <c r="M148" s="22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32"/>
      <c r="AX148" s="32"/>
      <c r="AY148" s="32"/>
      <c r="AZ148" s="5"/>
      <c r="BA148" s="5"/>
      <c r="BB148" s="5"/>
      <c r="BC148" s="5"/>
      <c r="BD148" s="5"/>
      <c r="BE148" s="5"/>
      <c r="BF148" s="5"/>
    </row>
    <row r="149" spans="2:58" s="149" customFormat="1" x14ac:dyDescent="0.25">
      <c r="B149" s="135"/>
      <c r="C149" s="111"/>
      <c r="D149" s="111"/>
      <c r="E149" s="136"/>
      <c r="F149" s="43"/>
      <c r="G149" s="5"/>
      <c r="H149" s="219"/>
      <c r="I149" s="232"/>
      <c r="J149" s="233"/>
      <c r="K149" s="222"/>
      <c r="L149" s="223"/>
      <c r="M149" s="22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32"/>
      <c r="AX149" s="32"/>
      <c r="AY149" s="32"/>
      <c r="AZ149" s="5"/>
      <c r="BA149" s="5"/>
      <c r="BB149" s="5"/>
      <c r="BC149" s="5"/>
      <c r="BD149" s="5"/>
      <c r="BE149" s="5"/>
      <c r="BF149" s="5"/>
    </row>
    <row r="150" spans="2:58" s="149" customFormat="1" x14ac:dyDescent="0.25">
      <c r="B150" s="135"/>
      <c r="C150" s="111"/>
      <c r="D150" s="111"/>
      <c r="E150" s="136"/>
      <c r="F150" s="43"/>
      <c r="G150" s="5"/>
      <c r="H150" s="219"/>
      <c r="I150" s="232"/>
      <c r="J150" s="233"/>
      <c r="K150" s="222"/>
      <c r="L150" s="223"/>
      <c r="M150" s="22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32"/>
      <c r="AX150" s="32"/>
      <c r="AY150" s="32"/>
      <c r="AZ150" s="5"/>
      <c r="BA150" s="5"/>
      <c r="BB150" s="5"/>
      <c r="BC150" s="5"/>
      <c r="BD150" s="5"/>
      <c r="BE150" s="5"/>
      <c r="BF150" s="5"/>
    </row>
    <row r="151" spans="2:58" s="149" customFormat="1" x14ac:dyDescent="0.25">
      <c r="B151" s="135"/>
      <c r="C151" s="111"/>
      <c r="D151" s="111"/>
      <c r="E151" s="136"/>
      <c r="F151" s="43"/>
      <c r="G151" s="5"/>
      <c r="H151" s="219"/>
      <c r="I151" s="232"/>
      <c r="J151" s="233"/>
      <c r="K151" s="222"/>
      <c r="L151" s="223"/>
      <c r="M151" s="22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32"/>
      <c r="AX151" s="32"/>
      <c r="AY151" s="32"/>
      <c r="AZ151" s="5"/>
      <c r="BA151" s="5"/>
      <c r="BB151" s="5"/>
      <c r="BC151" s="5"/>
      <c r="BD151" s="5"/>
      <c r="BE151" s="5"/>
      <c r="BF151" s="5"/>
    </row>
    <row r="152" spans="2:58" s="149" customFormat="1" x14ac:dyDescent="0.25">
      <c r="B152" s="135"/>
      <c r="C152" s="111"/>
      <c r="D152" s="111"/>
      <c r="E152" s="136"/>
      <c r="F152" s="43"/>
      <c r="G152" s="5"/>
      <c r="H152" s="219"/>
      <c r="I152" s="232"/>
      <c r="J152" s="233"/>
      <c r="K152" s="222"/>
      <c r="L152" s="223"/>
      <c r="M152" s="22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32"/>
      <c r="AX152" s="32"/>
      <c r="AY152" s="32"/>
      <c r="AZ152" s="5"/>
      <c r="BA152" s="5"/>
      <c r="BB152" s="5"/>
      <c r="BC152" s="5"/>
      <c r="BD152" s="5"/>
      <c r="BE152" s="5"/>
      <c r="BF152" s="5"/>
    </row>
    <row r="153" spans="2:58" s="149" customFormat="1" x14ac:dyDescent="0.25">
      <c r="B153" s="135"/>
      <c r="C153" s="111"/>
      <c r="D153" s="111"/>
      <c r="E153" s="136"/>
      <c r="F153" s="43"/>
      <c r="G153" s="5"/>
      <c r="H153" s="219"/>
      <c r="I153" s="232"/>
      <c r="J153" s="233"/>
      <c r="K153" s="222"/>
      <c r="L153" s="223"/>
      <c r="M153" s="22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32"/>
      <c r="AX153" s="32"/>
      <c r="AY153" s="32"/>
      <c r="AZ153" s="5"/>
      <c r="BA153" s="5"/>
      <c r="BB153" s="5"/>
      <c r="BC153" s="5"/>
      <c r="BD153" s="5"/>
      <c r="BE153" s="5"/>
      <c r="BF153" s="5"/>
    </row>
    <row r="154" spans="2:58" s="149" customFormat="1" x14ac:dyDescent="0.25">
      <c r="B154" s="135"/>
      <c r="C154" s="111"/>
      <c r="D154" s="111"/>
      <c r="E154" s="136"/>
      <c r="F154" s="43"/>
      <c r="G154" s="5"/>
      <c r="H154" s="219"/>
      <c r="I154" s="232"/>
      <c r="J154" s="233"/>
      <c r="K154" s="222"/>
      <c r="L154" s="223"/>
      <c r="M154" s="22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32"/>
      <c r="AX154" s="32"/>
      <c r="AY154" s="32"/>
      <c r="AZ154" s="5"/>
      <c r="BA154" s="5"/>
      <c r="BB154" s="5"/>
      <c r="BC154" s="5"/>
      <c r="BD154" s="5"/>
      <c r="BE154" s="5"/>
      <c r="BF154" s="5"/>
    </row>
    <row r="155" spans="2:58" s="149" customFormat="1" x14ac:dyDescent="0.25">
      <c r="B155" s="135"/>
      <c r="C155" s="111"/>
      <c r="D155" s="111"/>
      <c r="E155" s="136"/>
      <c r="F155" s="43"/>
      <c r="G155" s="5"/>
      <c r="H155" s="219"/>
      <c r="I155" s="232"/>
      <c r="J155" s="233"/>
      <c r="K155" s="222"/>
      <c r="L155" s="223"/>
      <c r="M155" s="22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32"/>
      <c r="AX155" s="32"/>
      <c r="AY155" s="32"/>
      <c r="AZ155" s="5"/>
      <c r="BA155" s="5"/>
      <c r="BB155" s="5"/>
      <c r="BC155" s="5"/>
      <c r="BD155" s="5"/>
      <c r="BE155" s="5"/>
      <c r="BF155" s="5"/>
    </row>
    <row r="156" spans="2:58" s="149" customFormat="1" x14ac:dyDescent="0.25">
      <c r="B156" s="135"/>
      <c r="C156" s="111"/>
      <c r="D156" s="111"/>
      <c r="E156" s="136"/>
      <c r="F156" s="43"/>
      <c r="G156" s="5"/>
      <c r="H156" s="219"/>
      <c r="I156" s="232"/>
      <c r="J156" s="233"/>
      <c r="K156" s="222"/>
      <c r="L156" s="223"/>
      <c r="M156" s="22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32"/>
      <c r="AX156" s="32"/>
      <c r="AY156" s="32"/>
      <c r="AZ156" s="5"/>
      <c r="BA156" s="5"/>
      <c r="BB156" s="5"/>
      <c r="BC156" s="5"/>
      <c r="BD156" s="5"/>
      <c r="BE156" s="5"/>
      <c r="BF156" s="5"/>
    </row>
    <row r="157" spans="2:58" s="149" customFormat="1" x14ac:dyDescent="0.25">
      <c r="B157" s="135"/>
      <c r="C157" s="111"/>
      <c r="D157" s="111"/>
      <c r="E157" s="136"/>
      <c r="F157" s="43"/>
      <c r="G157" s="5"/>
      <c r="H157" s="219"/>
      <c r="I157" s="232"/>
      <c r="J157" s="233"/>
      <c r="K157" s="222"/>
      <c r="L157" s="223"/>
      <c r="M157" s="22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32"/>
      <c r="AX157" s="32"/>
      <c r="AY157" s="32"/>
      <c r="AZ157" s="5"/>
      <c r="BA157" s="5"/>
      <c r="BB157" s="5"/>
      <c r="BC157" s="5"/>
      <c r="BD157" s="5"/>
      <c r="BE157" s="5"/>
      <c r="BF157" s="5"/>
    </row>
    <row r="158" spans="2:58" s="149" customFormat="1" x14ac:dyDescent="0.25">
      <c r="B158" s="135"/>
      <c r="C158" s="111"/>
      <c r="D158" s="111"/>
      <c r="E158" s="136"/>
      <c r="F158" s="43"/>
      <c r="G158" s="5"/>
      <c r="H158" s="219"/>
      <c r="I158" s="232"/>
      <c r="J158" s="233"/>
      <c r="K158" s="222"/>
      <c r="L158" s="223"/>
      <c r="M158" s="22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32"/>
      <c r="AX158" s="32"/>
      <c r="AY158" s="32"/>
      <c r="AZ158" s="5"/>
      <c r="BA158" s="5"/>
      <c r="BB158" s="5"/>
      <c r="BC158" s="5"/>
      <c r="BD158" s="5"/>
      <c r="BE158" s="5"/>
      <c r="BF158" s="5"/>
    </row>
    <row r="159" spans="2:58" s="149" customFormat="1" x14ac:dyDescent="0.25">
      <c r="B159" s="135"/>
      <c r="C159" s="111"/>
      <c r="D159" s="111"/>
      <c r="E159" s="136"/>
      <c r="F159" s="43"/>
      <c r="G159" s="5"/>
      <c r="H159" s="219"/>
      <c r="I159" s="232"/>
      <c r="J159" s="233"/>
      <c r="K159" s="222"/>
      <c r="L159" s="223"/>
      <c r="M159" s="22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32"/>
      <c r="AX159" s="32"/>
      <c r="AY159" s="32"/>
      <c r="AZ159" s="5"/>
      <c r="BA159" s="5"/>
      <c r="BB159" s="5"/>
      <c r="BC159" s="5"/>
      <c r="BD159" s="5"/>
      <c r="BE159" s="5"/>
      <c r="BF159" s="5"/>
    </row>
    <row r="160" spans="2:58" s="149" customFormat="1" x14ac:dyDescent="0.25">
      <c r="B160" s="135"/>
      <c r="C160" s="111"/>
      <c r="D160" s="111"/>
      <c r="E160" s="136"/>
      <c r="F160" s="43"/>
      <c r="G160" s="5"/>
      <c r="H160" s="219"/>
      <c r="I160" s="232"/>
      <c r="J160" s="233"/>
      <c r="K160" s="222"/>
      <c r="L160" s="223"/>
      <c r="M160" s="22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32"/>
      <c r="AX160" s="32"/>
      <c r="AY160" s="32"/>
      <c r="AZ160" s="5"/>
      <c r="BA160" s="5"/>
      <c r="BB160" s="5"/>
      <c r="BC160" s="5"/>
      <c r="BD160" s="5"/>
      <c r="BE160" s="5"/>
      <c r="BF160" s="5"/>
    </row>
    <row r="161" spans="2:58" s="149" customFormat="1" x14ac:dyDescent="0.25">
      <c r="B161" s="135"/>
      <c r="C161" s="111"/>
      <c r="D161" s="111"/>
      <c r="E161" s="136"/>
      <c r="F161" s="43"/>
      <c r="G161" s="5"/>
      <c r="H161" s="219"/>
      <c r="I161" s="232"/>
      <c r="J161" s="233"/>
      <c r="K161" s="222"/>
      <c r="L161" s="223"/>
      <c r="M161" s="22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32"/>
      <c r="AX161" s="32"/>
      <c r="AY161" s="32"/>
      <c r="AZ161" s="5"/>
      <c r="BA161" s="5"/>
      <c r="BB161" s="5"/>
      <c r="BC161" s="5"/>
      <c r="BD161" s="5"/>
      <c r="BE161" s="5"/>
      <c r="BF161" s="5"/>
    </row>
    <row r="162" spans="2:58" s="149" customFormat="1" x14ac:dyDescent="0.25">
      <c r="B162" s="135"/>
      <c r="C162" s="111"/>
      <c r="D162" s="111"/>
      <c r="E162" s="136"/>
      <c r="F162" s="43"/>
      <c r="G162" s="5"/>
      <c r="H162" s="219"/>
      <c r="I162" s="232"/>
      <c r="J162" s="233"/>
      <c r="K162" s="222"/>
      <c r="L162" s="223"/>
      <c r="M162" s="22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32"/>
      <c r="AX162" s="32"/>
      <c r="AY162" s="32"/>
      <c r="AZ162" s="5"/>
      <c r="BA162" s="5"/>
      <c r="BB162" s="5"/>
      <c r="BC162" s="5"/>
      <c r="BD162" s="5"/>
      <c r="BE162" s="5"/>
      <c r="BF162" s="5"/>
    </row>
    <row r="163" spans="2:58" s="149" customFormat="1" x14ac:dyDescent="0.25">
      <c r="B163" s="135"/>
      <c r="C163" s="111"/>
      <c r="D163" s="111"/>
      <c r="E163" s="136"/>
      <c r="F163" s="43"/>
      <c r="G163" s="5"/>
      <c r="H163" s="219"/>
      <c r="I163" s="232"/>
      <c r="J163" s="233"/>
      <c r="K163" s="222"/>
      <c r="L163" s="223"/>
      <c r="M163" s="22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32"/>
      <c r="AX163" s="32"/>
      <c r="AY163" s="32"/>
      <c r="AZ163" s="5"/>
      <c r="BA163" s="5"/>
      <c r="BB163" s="5"/>
      <c r="BC163" s="5"/>
      <c r="BD163" s="5"/>
      <c r="BE163" s="5"/>
      <c r="BF163" s="5"/>
    </row>
    <row r="164" spans="2:58" s="149" customFormat="1" x14ac:dyDescent="0.25">
      <c r="B164" s="135"/>
      <c r="C164" s="111"/>
      <c r="D164" s="111"/>
      <c r="E164" s="136"/>
      <c r="F164" s="43"/>
      <c r="G164" s="5"/>
      <c r="H164" s="219"/>
      <c r="I164" s="232"/>
      <c r="J164" s="233"/>
      <c r="K164" s="222"/>
      <c r="L164" s="223"/>
      <c r="M164" s="22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32"/>
      <c r="AX164" s="32"/>
      <c r="AY164" s="32"/>
      <c r="AZ164" s="5"/>
      <c r="BA164" s="5"/>
      <c r="BB164" s="5"/>
      <c r="BC164" s="5"/>
      <c r="BD164" s="5"/>
      <c r="BE164" s="5"/>
      <c r="BF164" s="5"/>
    </row>
    <row r="165" spans="2:58" s="149" customFormat="1" x14ac:dyDescent="0.25">
      <c r="B165" s="135"/>
      <c r="C165" s="111"/>
      <c r="D165" s="111"/>
      <c r="E165" s="136"/>
      <c r="F165" s="43"/>
      <c r="G165" s="5"/>
      <c r="H165" s="219"/>
      <c r="I165" s="232"/>
      <c r="J165" s="233"/>
      <c r="K165" s="222"/>
      <c r="L165" s="223"/>
      <c r="M165" s="22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32"/>
      <c r="AX165" s="32"/>
      <c r="AY165" s="32"/>
      <c r="AZ165" s="5"/>
      <c r="BA165" s="5"/>
      <c r="BB165" s="5"/>
      <c r="BC165" s="5"/>
      <c r="BD165" s="5"/>
      <c r="BE165" s="5"/>
      <c r="BF165" s="5"/>
    </row>
    <row r="166" spans="2:58" s="149" customFormat="1" x14ac:dyDescent="0.25">
      <c r="B166" s="135"/>
      <c r="C166" s="111"/>
      <c r="D166" s="111"/>
      <c r="E166" s="136"/>
      <c r="F166" s="43"/>
      <c r="G166" s="5"/>
      <c r="H166" s="219"/>
      <c r="I166" s="232"/>
      <c r="J166" s="233"/>
      <c r="K166" s="222"/>
      <c r="L166" s="223"/>
      <c r="M166" s="22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32"/>
      <c r="AX166" s="32"/>
      <c r="AY166" s="32"/>
      <c r="AZ166" s="5"/>
      <c r="BA166" s="5"/>
      <c r="BB166" s="5"/>
      <c r="BC166" s="5"/>
      <c r="BD166" s="5"/>
      <c r="BE166" s="5"/>
      <c r="BF166" s="5"/>
    </row>
    <row r="167" spans="2:58" s="149" customFormat="1" x14ac:dyDescent="0.25">
      <c r="B167" s="135"/>
      <c r="C167" s="111"/>
      <c r="D167" s="111"/>
      <c r="E167" s="136"/>
      <c r="F167" s="43"/>
      <c r="G167" s="5"/>
      <c r="H167" s="219"/>
      <c r="I167" s="232"/>
      <c r="J167" s="233"/>
      <c r="K167" s="222"/>
      <c r="L167" s="223"/>
      <c r="M167" s="22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32"/>
      <c r="AX167" s="32"/>
      <c r="AY167" s="32"/>
      <c r="AZ167" s="5"/>
      <c r="BA167" s="5"/>
      <c r="BB167" s="5"/>
      <c r="BC167" s="5"/>
      <c r="BD167" s="5"/>
      <c r="BE167" s="5"/>
      <c r="BF167" s="5"/>
    </row>
    <row r="168" spans="2:58" s="149" customFormat="1" x14ac:dyDescent="0.25">
      <c r="B168" s="135"/>
      <c r="C168" s="111"/>
      <c r="D168" s="111"/>
      <c r="E168" s="136"/>
      <c r="F168" s="43"/>
      <c r="G168" s="5"/>
      <c r="H168" s="219"/>
      <c r="I168" s="232"/>
      <c r="J168" s="233"/>
      <c r="K168" s="222"/>
      <c r="L168" s="223"/>
      <c r="M168" s="22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32"/>
      <c r="AX168" s="32"/>
      <c r="AY168" s="32"/>
      <c r="AZ168" s="5"/>
      <c r="BA168" s="5"/>
      <c r="BB168" s="5"/>
      <c r="BC168" s="5"/>
      <c r="BD168" s="5"/>
      <c r="BE168" s="5"/>
      <c r="BF168" s="5"/>
    </row>
    <row r="169" spans="2:58" s="149" customFormat="1" x14ac:dyDescent="0.25">
      <c r="B169" s="135"/>
      <c r="C169" s="111"/>
      <c r="D169" s="111"/>
      <c r="E169" s="136"/>
      <c r="F169" s="43"/>
      <c r="G169" s="5"/>
      <c r="H169" s="219"/>
      <c r="I169" s="232"/>
      <c r="J169" s="233"/>
      <c r="K169" s="222"/>
      <c r="L169" s="223"/>
      <c r="M169" s="22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32"/>
      <c r="AX169" s="32"/>
      <c r="AY169" s="32"/>
      <c r="AZ169" s="5"/>
      <c r="BA169" s="5"/>
      <c r="BB169" s="5"/>
      <c r="BC169" s="5"/>
      <c r="BD169" s="5"/>
      <c r="BE169" s="5"/>
      <c r="BF169" s="5"/>
    </row>
    <row r="170" spans="2:58" s="149" customFormat="1" x14ac:dyDescent="0.25">
      <c r="B170" s="135"/>
      <c r="C170" s="111"/>
      <c r="D170" s="111"/>
      <c r="E170" s="136"/>
      <c r="F170" s="43"/>
      <c r="G170" s="5"/>
      <c r="H170" s="219"/>
      <c r="I170" s="232"/>
      <c r="J170" s="233"/>
      <c r="K170" s="222"/>
      <c r="L170" s="223"/>
      <c r="M170" s="22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32"/>
      <c r="AX170" s="32"/>
      <c r="AY170" s="32"/>
      <c r="AZ170" s="5"/>
      <c r="BA170" s="5"/>
      <c r="BB170" s="5"/>
      <c r="BC170" s="5"/>
      <c r="BD170" s="5"/>
      <c r="BE170" s="5"/>
      <c r="BF170" s="5"/>
    </row>
    <row r="171" spans="2:58" s="149" customFormat="1" x14ac:dyDescent="0.25">
      <c r="B171" s="135"/>
      <c r="C171" s="111"/>
      <c r="D171" s="111"/>
      <c r="E171" s="136"/>
      <c r="F171" s="43"/>
      <c r="G171" s="5"/>
      <c r="H171" s="219"/>
      <c r="I171" s="232"/>
      <c r="J171" s="233"/>
      <c r="K171" s="222"/>
      <c r="L171" s="223"/>
      <c r="M171" s="22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32"/>
      <c r="AX171" s="32"/>
      <c r="AY171" s="32"/>
      <c r="AZ171" s="5"/>
      <c r="BA171" s="5"/>
      <c r="BB171" s="5"/>
      <c r="BC171" s="5"/>
      <c r="BD171" s="5"/>
      <c r="BE171" s="5"/>
      <c r="BF171" s="5"/>
    </row>
    <row r="172" spans="2:58" s="149" customFormat="1" x14ac:dyDescent="0.25">
      <c r="B172" s="135"/>
      <c r="C172" s="111"/>
      <c r="D172" s="111"/>
      <c r="E172" s="136"/>
      <c r="F172" s="43"/>
      <c r="G172" s="5"/>
      <c r="H172" s="219"/>
      <c r="I172" s="232"/>
      <c r="J172" s="233"/>
      <c r="K172" s="222"/>
      <c r="L172" s="223"/>
      <c r="M172" s="22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32"/>
      <c r="AX172" s="32"/>
      <c r="AY172" s="32"/>
      <c r="AZ172" s="5"/>
      <c r="BA172" s="5"/>
      <c r="BB172" s="5"/>
      <c r="BC172" s="5"/>
      <c r="BD172" s="5"/>
      <c r="BE172" s="5"/>
      <c r="BF172" s="5"/>
    </row>
    <row r="173" spans="2:58" s="149" customFormat="1" x14ac:dyDescent="0.25">
      <c r="B173" s="135"/>
      <c r="C173" s="111"/>
      <c r="D173" s="111"/>
      <c r="E173" s="136"/>
      <c r="F173" s="43"/>
      <c r="G173" s="5"/>
      <c r="H173" s="219"/>
      <c r="I173" s="232"/>
      <c r="J173" s="233"/>
      <c r="K173" s="222"/>
      <c r="L173" s="223"/>
      <c r="M173" s="22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32"/>
      <c r="AX173" s="32"/>
      <c r="AY173" s="32"/>
      <c r="AZ173" s="5"/>
      <c r="BA173" s="5"/>
      <c r="BB173" s="5"/>
      <c r="BC173" s="5"/>
      <c r="BD173" s="5"/>
      <c r="BE173" s="5"/>
      <c r="BF173" s="5"/>
    </row>
    <row r="174" spans="2:58" s="149" customFormat="1" x14ac:dyDescent="0.25">
      <c r="B174" s="135"/>
      <c r="C174" s="111"/>
      <c r="D174" s="111"/>
      <c r="E174" s="136"/>
      <c r="F174" s="43"/>
      <c r="G174" s="5"/>
      <c r="H174" s="219"/>
      <c r="I174" s="232"/>
      <c r="J174" s="233"/>
      <c r="K174" s="222"/>
      <c r="L174" s="223"/>
      <c r="M174" s="22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32"/>
      <c r="AX174" s="32"/>
      <c r="AY174" s="32"/>
      <c r="AZ174" s="5"/>
      <c r="BA174" s="5"/>
      <c r="BB174" s="5"/>
      <c r="BC174" s="5"/>
      <c r="BD174" s="5"/>
      <c r="BE174" s="5"/>
      <c r="BF174" s="5"/>
    </row>
    <row r="175" spans="2:58" s="149" customFormat="1" x14ac:dyDescent="0.25">
      <c r="B175" s="135"/>
      <c r="C175" s="111"/>
      <c r="D175" s="111"/>
      <c r="E175" s="136"/>
      <c r="F175" s="43"/>
      <c r="G175" s="5"/>
      <c r="H175" s="219"/>
      <c r="I175" s="232"/>
      <c r="J175" s="233"/>
      <c r="K175" s="222"/>
      <c r="L175" s="223"/>
      <c r="M175" s="22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32"/>
      <c r="AX175" s="32"/>
      <c r="AY175" s="32"/>
      <c r="AZ175" s="5"/>
      <c r="BA175" s="5"/>
      <c r="BB175" s="5"/>
      <c r="BC175" s="5"/>
      <c r="BD175" s="5"/>
      <c r="BE175" s="5"/>
      <c r="BF175" s="5"/>
    </row>
    <row r="176" spans="2:58" s="149" customFormat="1" x14ac:dyDescent="0.25">
      <c r="B176" s="135"/>
      <c r="C176" s="111"/>
      <c r="D176" s="111"/>
      <c r="E176" s="136"/>
      <c r="F176" s="43"/>
      <c r="G176" s="5"/>
      <c r="H176" s="219"/>
      <c r="I176" s="232"/>
      <c r="J176" s="233"/>
      <c r="K176" s="222"/>
      <c r="L176" s="223"/>
      <c r="M176" s="22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32"/>
      <c r="AX176" s="32"/>
      <c r="AY176" s="32"/>
      <c r="AZ176" s="5"/>
      <c r="BA176" s="5"/>
      <c r="BB176" s="5"/>
      <c r="BC176" s="5"/>
      <c r="BD176" s="5"/>
      <c r="BE176" s="5"/>
      <c r="BF176" s="5"/>
    </row>
    <row r="177" spans="2:58" s="149" customFormat="1" x14ac:dyDescent="0.25">
      <c r="B177" s="135"/>
      <c r="C177" s="111"/>
      <c r="D177" s="111"/>
      <c r="E177" s="136"/>
      <c r="F177" s="43"/>
      <c r="G177" s="5"/>
      <c r="H177" s="219"/>
      <c r="I177" s="232"/>
      <c r="J177" s="233"/>
      <c r="K177" s="222"/>
      <c r="L177" s="223"/>
      <c r="M177" s="22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32"/>
      <c r="AX177" s="32"/>
      <c r="AY177" s="32"/>
      <c r="AZ177" s="5"/>
      <c r="BA177" s="5"/>
      <c r="BB177" s="5"/>
      <c r="BC177" s="5"/>
      <c r="BD177" s="5"/>
      <c r="BE177" s="5"/>
      <c r="BF177" s="5"/>
    </row>
    <row r="178" spans="2:58" s="149" customFormat="1" x14ac:dyDescent="0.25">
      <c r="B178" s="135"/>
      <c r="C178" s="111"/>
      <c r="D178" s="111"/>
      <c r="E178" s="136"/>
      <c r="F178" s="43"/>
      <c r="G178" s="5"/>
      <c r="H178" s="219"/>
      <c r="I178" s="232"/>
      <c r="J178" s="233"/>
      <c r="K178" s="222"/>
      <c r="L178" s="223"/>
      <c r="M178" s="22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32"/>
      <c r="AX178" s="32"/>
      <c r="AY178" s="32"/>
      <c r="AZ178" s="5"/>
      <c r="BA178" s="5"/>
      <c r="BB178" s="5"/>
      <c r="BC178" s="5"/>
      <c r="BD178" s="5"/>
      <c r="BE178" s="5"/>
      <c r="BF178" s="5"/>
    </row>
    <row r="179" spans="2:58" s="149" customFormat="1" x14ac:dyDescent="0.25">
      <c r="B179" s="135"/>
      <c r="C179" s="111"/>
      <c r="D179" s="111"/>
      <c r="E179" s="136"/>
      <c r="F179" s="43"/>
      <c r="G179" s="5"/>
      <c r="H179" s="219"/>
      <c r="I179" s="232"/>
      <c r="J179" s="233"/>
      <c r="K179" s="222"/>
      <c r="L179" s="223"/>
      <c r="M179" s="22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32"/>
      <c r="AX179" s="32"/>
      <c r="AY179" s="32"/>
      <c r="AZ179" s="5"/>
      <c r="BA179" s="5"/>
      <c r="BB179" s="5"/>
      <c r="BC179" s="5"/>
      <c r="BD179" s="5"/>
      <c r="BE179" s="5"/>
      <c r="BF179" s="5"/>
    </row>
    <row r="180" spans="2:58" s="149" customFormat="1" x14ac:dyDescent="0.25">
      <c r="B180" s="135"/>
      <c r="C180" s="111"/>
      <c r="D180" s="111"/>
      <c r="E180" s="136"/>
      <c r="F180" s="43"/>
      <c r="G180" s="5"/>
      <c r="H180" s="219"/>
      <c r="I180" s="232"/>
      <c r="J180" s="233"/>
      <c r="K180" s="222"/>
      <c r="L180" s="223"/>
      <c r="M180" s="22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32"/>
      <c r="AX180" s="32"/>
      <c r="AY180" s="32"/>
      <c r="AZ180" s="5"/>
      <c r="BA180" s="5"/>
      <c r="BB180" s="5"/>
      <c r="BC180" s="5"/>
      <c r="BD180" s="5"/>
      <c r="BE180" s="5"/>
      <c r="BF180" s="5"/>
    </row>
    <row r="181" spans="2:58" s="149" customFormat="1" x14ac:dyDescent="0.25">
      <c r="B181" s="135"/>
      <c r="C181" s="111"/>
      <c r="D181" s="111"/>
      <c r="E181" s="136"/>
      <c r="F181" s="43"/>
      <c r="G181" s="5"/>
      <c r="H181" s="219"/>
      <c r="I181" s="232"/>
      <c r="J181" s="233"/>
      <c r="K181" s="222"/>
      <c r="L181" s="223"/>
      <c r="M181" s="22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32"/>
      <c r="AX181" s="32"/>
      <c r="AY181" s="32"/>
      <c r="AZ181" s="5"/>
      <c r="BA181" s="5"/>
      <c r="BB181" s="5"/>
      <c r="BC181" s="5"/>
      <c r="BD181" s="5"/>
      <c r="BE181" s="5"/>
      <c r="BF181" s="5"/>
    </row>
    <row r="182" spans="2:58" s="149" customFormat="1" x14ac:dyDescent="0.25">
      <c r="B182" s="135"/>
      <c r="C182" s="111"/>
      <c r="D182" s="111"/>
      <c r="E182" s="136"/>
      <c r="F182" s="43"/>
      <c r="G182" s="5"/>
      <c r="H182" s="219"/>
      <c r="I182" s="232"/>
      <c r="J182" s="233"/>
      <c r="K182" s="222"/>
      <c r="L182" s="223"/>
      <c r="M182" s="22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32"/>
      <c r="AX182" s="32"/>
      <c r="AY182" s="32"/>
      <c r="AZ182" s="5"/>
      <c r="BA182" s="5"/>
      <c r="BB182" s="5"/>
      <c r="BC182" s="5"/>
      <c r="BD182" s="5"/>
      <c r="BE182" s="5"/>
      <c r="BF182" s="5"/>
    </row>
    <row r="183" spans="2:58" s="149" customFormat="1" x14ac:dyDescent="0.25">
      <c r="B183" s="135"/>
      <c r="C183" s="111"/>
      <c r="D183" s="111"/>
      <c r="E183" s="136"/>
      <c r="F183" s="43"/>
      <c r="G183" s="5"/>
      <c r="H183" s="219"/>
      <c r="I183" s="232"/>
      <c r="J183" s="233"/>
      <c r="K183" s="222"/>
      <c r="L183" s="223"/>
      <c r="M183" s="22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32"/>
      <c r="AX183" s="32"/>
      <c r="AY183" s="32"/>
      <c r="AZ183" s="5"/>
      <c r="BA183" s="5"/>
      <c r="BB183" s="5"/>
      <c r="BC183" s="5"/>
      <c r="BD183" s="5"/>
      <c r="BE183" s="5"/>
      <c r="BF183" s="5"/>
    </row>
    <row r="184" spans="2:58" s="149" customFormat="1" x14ac:dyDescent="0.25">
      <c r="B184" s="135"/>
      <c r="C184" s="111"/>
      <c r="D184" s="111"/>
      <c r="E184" s="136"/>
      <c r="F184" s="43"/>
      <c r="G184" s="5"/>
      <c r="H184" s="219"/>
      <c r="I184" s="232"/>
      <c r="J184" s="233"/>
      <c r="K184" s="222"/>
      <c r="L184" s="223"/>
      <c r="M184" s="22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32"/>
      <c r="AX184" s="32"/>
      <c r="AY184" s="32"/>
      <c r="AZ184" s="5"/>
      <c r="BA184" s="5"/>
      <c r="BB184" s="5"/>
      <c r="BC184" s="5"/>
      <c r="BD184" s="5"/>
      <c r="BE184" s="5"/>
      <c r="BF184" s="5"/>
    </row>
    <row r="185" spans="2:58" s="149" customFormat="1" x14ac:dyDescent="0.25">
      <c r="B185" s="135"/>
      <c r="C185" s="111"/>
      <c r="D185" s="111"/>
      <c r="E185" s="136"/>
      <c r="F185" s="43"/>
      <c r="G185" s="5"/>
      <c r="H185" s="219"/>
      <c r="I185" s="232"/>
      <c r="J185" s="233"/>
      <c r="K185" s="222"/>
      <c r="L185" s="223"/>
      <c r="M185" s="22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32"/>
      <c r="AX185" s="32"/>
      <c r="AY185" s="32"/>
      <c r="AZ185" s="5"/>
      <c r="BA185" s="5"/>
      <c r="BB185" s="5"/>
      <c r="BC185" s="5"/>
      <c r="BD185" s="5"/>
      <c r="BE185" s="5"/>
      <c r="BF185" s="5"/>
    </row>
    <row r="186" spans="2:58" s="149" customFormat="1" x14ac:dyDescent="0.25">
      <c r="B186" s="135"/>
      <c r="C186" s="111"/>
      <c r="D186" s="111"/>
      <c r="E186" s="136"/>
      <c r="F186" s="43"/>
      <c r="G186" s="5"/>
      <c r="H186" s="219"/>
      <c r="I186" s="232"/>
      <c r="J186" s="233"/>
      <c r="K186" s="222"/>
      <c r="L186" s="223"/>
      <c r="M186" s="22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32"/>
      <c r="AX186" s="32"/>
      <c r="AY186" s="32"/>
      <c r="AZ186" s="5"/>
      <c r="BA186" s="5"/>
      <c r="BB186" s="5"/>
      <c r="BC186" s="5"/>
      <c r="BD186" s="5"/>
      <c r="BE186" s="5"/>
      <c r="BF186" s="5"/>
    </row>
    <row r="187" spans="2:58" s="149" customFormat="1" x14ac:dyDescent="0.25">
      <c r="B187" s="135"/>
      <c r="C187" s="111"/>
      <c r="D187" s="111"/>
      <c r="E187" s="136"/>
      <c r="F187" s="43"/>
      <c r="G187" s="5"/>
      <c r="H187" s="219"/>
      <c r="I187" s="232"/>
      <c r="J187" s="233"/>
      <c r="K187" s="222"/>
      <c r="L187" s="223"/>
      <c r="M187" s="22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32"/>
      <c r="AX187" s="32"/>
      <c r="AY187" s="32"/>
      <c r="AZ187" s="5"/>
      <c r="BA187" s="5"/>
      <c r="BB187" s="5"/>
      <c r="BC187" s="5"/>
      <c r="BD187" s="5"/>
      <c r="BE187" s="5"/>
      <c r="BF187" s="5"/>
    </row>
    <row r="188" spans="2:58" s="149" customFormat="1" x14ac:dyDescent="0.25">
      <c r="B188" s="135"/>
      <c r="C188" s="111"/>
      <c r="D188" s="111"/>
      <c r="E188" s="136"/>
      <c r="F188" s="43"/>
      <c r="G188" s="5"/>
      <c r="H188" s="219"/>
      <c r="I188" s="232"/>
      <c r="J188" s="233"/>
      <c r="K188" s="222"/>
      <c r="L188" s="223"/>
      <c r="M188" s="22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32"/>
      <c r="AX188" s="32"/>
      <c r="AY188" s="32"/>
      <c r="AZ188" s="5"/>
      <c r="BA188" s="5"/>
      <c r="BB188" s="5"/>
      <c r="BC188" s="5"/>
      <c r="BD188" s="5"/>
      <c r="BE188" s="5"/>
      <c r="BF188" s="5"/>
    </row>
    <row r="189" spans="2:58" s="149" customFormat="1" x14ac:dyDescent="0.25">
      <c r="B189" s="135"/>
      <c r="C189" s="111"/>
      <c r="D189" s="111"/>
      <c r="E189" s="136"/>
      <c r="F189" s="43"/>
      <c r="G189" s="5"/>
      <c r="H189" s="219"/>
      <c r="I189" s="232"/>
      <c r="J189" s="233"/>
      <c r="K189" s="222"/>
      <c r="L189" s="223"/>
      <c r="M189" s="22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32"/>
      <c r="AX189" s="32"/>
      <c r="AY189" s="32"/>
      <c r="AZ189" s="5"/>
      <c r="BA189" s="5"/>
      <c r="BB189" s="5"/>
      <c r="BC189" s="5"/>
      <c r="BD189" s="5"/>
      <c r="BE189" s="5"/>
      <c r="BF189" s="5"/>
    </row>
    <row r="190" spans="2:58" s="149" customFormat="1" x14ac:dyDescent="0.25">
      <c r="B190" s="135"/>
      <c r="C190" s="111"/>
      <c r="D190" s="111"/>
      <c r="E190" s="136"/>
      <c r="F190" s="43"/>
      <c r="G190" s="5"/>
      <c r="H190" s="219"/>
      <c r="I190" s="232"/>
      <c r="J190" s="233"/>
      <c r="K190" s="222"/>
      <c r="L190" s="223"/>
      <c r="M190" s="22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32"/>
      <c r="AX190" s="32"/>
      <c r="AY190" s="32"/>
      <c r="AZ190" s="5"/>
      <c r="BA190" s="5"/>
      <c r="BB190" s="5"/>
      <c r="BC190" s="5"/>
      <c r="BD190" s="5"/>
      <c r="BE190" s="5"/>
      <c r="BF190" s="5"/>
    </row>
    <row r="191" spans="2:58" s="149" customFormat="1" x14ac:dyDescent="0.25">
      <c r="B191" s="135"/>
      <c r="C191" s="111"/>
      <c r="D191" s="111"/>
      <c r="E191" s="136"/>
      <c r="F191" s="43"/>
      <c r="G191" s="5"/>
      <c r="H191" s="219"/>
      <c r="I191" s="232"/>
      <c r="J191" s="233"/>
      <c r="K191" s="222"/>
      <c r="L191" s="223"/>
      <c r="M191" s="22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32"/>
      <c r="AX191" s="32"/>
      <c r="AY191" s="32"/>
      <c r="AZ191" s="5"/>
      <c r="BA191" s="5"/>
      <c r="BB191" s="5"/>
      <c r="BC191" s="5"/>
      <c r="BD191" s="5"/>
      <c r="BE191" s="5"/>
      <c r="BF191" s="5"/>
    </row>
    <row r="192" spans="2:58" s="149" customFormat="1" x14ac:dyDescent="0.25">
      <c r="B192" s="135"/>
      <c r="C192" s="111"/>
      <c r="D192" s="111"/>
      <c r="E192" s="136"/>
      <c r="F192" s="43"/>
      <c r="G192" s="5"/>
      <c r="H192" s="219"/>
      <c r="I192" s="232"/>
      <c r="J192" s="233"/>
      <c r="K192" s="222"/>
      <c r="L192" s="223"/>
      <c r="M192" s="22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32"/>
      <c r="AX192" s="32"/>
      <c r="AY192" s="32"/>
      <c r="AZ192" s="5"/>
      <c r="BA192" s="5"/>
      <c r="BB192" s="5"/>
      <c r="BC192" s="5"/>
      <c r="BD192" s="5"/>
      <c r="BE192" s="5"/>
      <c r="BF192" s="5"/>
    </row>
    <row r="193" spans="2:58" s="149" customFormat="1" x14ac:dyDescent="0.25">
      <c r="B193" s="135"/>
      <c r="C193" s="111"/>
      <c r="D193" s="111"/>
      <c r="E193" s="136"/>
      <c r="F193" s="43"/>
      <c r="G193" s="5"/>
      <c r="H193" s="219"/>
      <c r="I193" s="232"/>
      <c r="J193" s="233"/>
      <c r="K193" s="222"/>
      <c r="L193" s="223"/>
      <c r="M193" s="22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32"/>
      <c r="AX193" s="32"/>
      <c r="AY193" s="32"/>
      <c r="AZ193" s="5"/>
      <c r="BA193" s="5"/>
      <c r="BB193" s="5"/>
      <c r="BC193" s="5"/>
      <c r="BD193" s="5"/>
      <c r="BE193" s="5"/>
      <c r="BF193" s="5"/>
    </row>
    <row r="194" spans="2:58" s="149" customFormat="1" x14ac:dyDescent="0.25">
      <c r="B194" s="135"/>
      <c r="C194" s="111"/>
      <c r="D194" s="111"/>
      <c r="E194" s="136"/>
      <c r="F194" s="43"/>
      <c r="G194" s="5"/>
      <c r="H194" s="219"/>
      <c r="I194" s="232"/>
      <c r="J194" s="233"/>
      <c r="K194" s="222"/>
      <c r="L194" s="223"/>
      <c r="M194" s="22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32"/>
      <c r="AX194" s="32"/>
      <c r="AY194" s="32"/>
      <c r="AZ194" s="5"/>
      <c r="BA194" s="5"/>
      <c r="BB194" s="5"/>
      <c r="BC194" s="5"/>
      <c r="BD194" s="5"/>
      <c r="BE194" s="5"/>
      <c r="BF194" s="5"/>
    </row>
    <row r="195" spans="2:58" s="149" customFormat="1" x14ac:dyDescent="0.25">
      <c r="B195" s="135"/>
      <c r="C195" s="111"/>
      <c r="D195" s="111"/>
      <c r="E195" s="136"/>
      <c r="F195" s="43"/>
      <c r="G195" s="5"/>
      <c r="H195" s="219"/>
      <c r="I195" s="232"/>
      <c r="J195" s="233"/>
      <c r="K195" s="222"/>
      <c r="L195" s="223"/>
      <c r="M195" s="22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32"/>
      <c r="AX195" s="32"/>
      <c r="AY195" s="32"/>
      <c r="AZ195" s="5"/>
      <c r="BA195" s="5"/>
      <c r="BB195" s="5"/>
      <c r="BC195" s="5"/>
      <c r="BD195" s="5"/>
      <c r="BE195" s="5"/>
      <c r="BF195" s="5"/>
    </row>
    <row r="196" spans="2:58" s="149" customFormat="1" x14ac:dyDescent="0.25">
      <c r="B196" s="135"/>
      <c r="C196" s="111"/>
      <c r="D196" s="111"/>
      <c r="E196" s="136"/>
      <c r="F196" s="43"/>
      <c r="G196" s="5"/>
      <c r="H196" s="219"/>
      <c r="I196" s="232"/>
      <c r="J196" s="233"/>
      <c r="K196" s="222"/>
      <c r="L196" s="223"/>
      <c r="M196" s="22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32"/>
      <c r="AX196" s="32"/>
      <c r="AY196" s="32"/>
      <c r="AZ196" s="5"/>
      <c r="BA196" s="5"/>
      <c r="BB196" s="5"/>
      <c r="BC196" s="5"/>
      <c r="BD196" s="5"/>
      <c r="BE196" s="5"/>
      <c r="BF196" s="5"/>
    </row>
    <row r="197" spans="2:58" s="149" customFormat="1" x14ac:dyDescent="0.25">
      <c r="B197" s="135"/>
      <c r="C197" s="111"/>
      <c r="D197" s="111"/>
      <c r="E197" s="136"/>
      <c r="F197" s="43"/>
      <c r="G197" s="5"/>
      <c r="H197" s="219"/>
      <c r="I197" s="232"/>
      <c r="J197" s="233"/>
      <c r="K197" s="222"/>
      <c r="L197" s="223"/>
      <c r="M197" s="22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32"/>
      <c r="AX197" s="32"/>
      <c r="AY197" s="32"/>
      <c r="AZ197" s="5"/>
      <c r="BA197" s="5"/>
      <c r="BB197" s="5"/>
      <c r="BC197" s="5"/>
      <c r="BD197" s="5"/>
      <c r="BE197" s="5"/>
      <c r="BF197" s="5"/>
    </row>
    <row r="198" spans="2:58" s="149" customFormat="1" x14ac:dyDescent="0.25">
      <c r="B198" s="135"/>
      <c r="C198" s="111"/>
      <c r="D198" s="111"/>
      <c r="E198" s="136"/>
      <c r="F198" s="43"/>
      <c r="G198" s="5"/>
      <c r="H198" s="219"/>
      <c r="I198" s="232"/>
      <c r="J198" s="233"/>
      <c r="K198" s="222"/>
      <c r="L198" s="223"/>
      <c r="M198" s="22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32"/>
      <c r="AX198" s="32"/>
      <c r="AY198" s="32"/>
      <c r="AZ198" s="5"/>
      <c r="BA198" s="5"/>
      <c r="BB198" s="5"/>
      <c r="BC198" s="5"/>
      <c r="BD198" s="5"/>
      <c r="BE198" s="5"/>
      <c r="BF198" s="5"/>
    </row>
    <row r="199" spans="2:58" s="149" customFormat="1" x14ac:dyDescent="0.25">
      <c r="B199" s="135"/>
      <c r="C199" s="111"/>
      <c r="D199" s="111"/>
      <c r="E199" s="136"/>
      <c r="F199" s="43"/>
      <c r="G199" s="5"/>
      <c r="H199" s="219"/>
      <c r="I199" s="232"/>
      <c r="J199" s="233"/>
      <c r="K199" s="222"/>
      <c r="L199" s="223"/>
      <c r="M199" s="22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32"/>
      <c r="AX199" s="32"/>
      <c r="AY199" s="32"/>
      <c r="AZ199" s="5"/>
      <c r="BA199" s="5"/>
      <c r="BB199" s="5"/>
      <c r="BC199" s="5"/>
      <c r="BD199" s="5"/>
      <c r="BE199" s="5"/>
      <c r="BF199" s="5"/>
    </row>
    <row r="200" spans="2:58" s="149" customFormat="1" x14ac:dyDescent="0.25">
      <c r="B200" s="135"/>
      <c r="C200" s="111"/>
      <c r="D200" s="111"/>
      <c r="E200" s="136"/>
      <c r="F200" s="43"/>
      <c r="G200" s="5"/>
      <c r="H200" s="219"/>
      <c r="I200" s="232"/>
      <c r="J200" s="233"/>
      <c r="K200" s="222"/>
      <c r="L200" s="223"/>
      <c r="M200" s="22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32"/>
      <c r="AX200" s="32"/>
      <c r="AY200" s="32"/>
      <c r="AZ200" s="5"/>
      <c r="BA200" s="5"/>
      <c r="BB200" s="5"/>
      <c r="BC200" s="5"/>
      <c r="BD200" s="5"/>
      <c r="BE200" s="5"/>
      <c r="BF200" s="5"/>
    </row>
    <row r="201" spans="2:58" s="149" customFormat="1" x14ac:dyDescent="0.25">
      <c r="B201" s="135"/>
      <c r="C201" s="111"/>
      <c r="D201" s="111"/>
      <c r="E201" s="136"/>
      <c r="F201" s="43"/>
      <c r="G201" s="5"/>
      <c r="H201" s="219"/>
      <c r="I201" s="232"/>
      <c r="J201" s="233"/>
      <c r="K201" s="222"/>
      <c r="L201" s="223"/>
      <c r="M201" s="22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32"/>
      <c r="AX201" s="32"/>
      <c r="AY201" s="32"/>
      <c r="AZ201" s="5"/>
      <c r="BA201" s="5"/>
      <c r="BB201" s="5"/>
      <c r="BC201" s="5"/>
      <c r="BD201" s="5"/>
      <c r="BE201" s="5"/>
      <c r="BF201" s="5"/>
    </row>
    <row r="202" spans="2:58" s="149" customFormat="1" x14ac:dyDescent="0.25">
      <c r="B202" s="135"/>
      <c r="C202" s="111"/>
      <c r="D202" s="111"/>
      <c r="E202" s="136"/>
      <c r="F202" s="43"/>
      <c r="G202" s="5"/>
      <c r="H202" s="219"/>
      <c r="I202" s="232"/>
      <c r="J202" s="233"/>
      <c r="K202" s="222"/>
      <c r="L202" s="223"/>
      <c r="M202" s="22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32"/>
      <c r="AX202" s="32"/>
      <c r="AY202" s="32"/>
      <c r="AZ202" s="5"/>
      <c r="BA202" s="5"/>
      <c r="BB202" s="5"/>
      <c r="BC202" s="5"/>
      <c r="BD202" s="5"/>
      <c r="BE202" s="5"/>
      <c r="BF202" s="5"/>
    </row>
    <row r="203" spans="2:58" s="149" customFormat="1" x14ac:dyDescent="0.25">
      <c r="B203" s="135"/>
      <c r="C203" s="111"/>
      <c r="D203" s="111"/>
      <c r="E203" s="136"/>
      <c r="F203" s="43"/>
      <c r="G203" s="5"/>
      <c r="H203" s="219"/>
      <c r="I203" s="232"/>
      <c r="J203" s="233"/>
      <c r="K203" s="222"/>
      <c r="L203" s="223"/>
      <c r="M203" s="22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32"/>
      <c r="AX203" s="32"/>
      <c r="AY203" s="32"/>
      <c r="AZ203" s="5"/>
      <c r="BA203" s="5"/>
      <c r="BB203" s="5"/>
      <c r="BC203" s="5"/>
      <c r="BD203" s="5"/>
      <c r="BE203" s="5"/>
      <c r="BF203" s="5"/>
    </row>
    <row r="204" spans="2:58" s="149" customFormat="1" x14ac:dyDescent="0.25">
      <c r="B204" s="135"/>
      <c r="C204" s="111"/>
      <c r="D204" s="111"/>
      <c r="E204" s="136"/>
      <c r="F204" s="43"/>
      <c r="G204" s="5"/>
      <c r="H204" s="219"/>
      <c r="I204" s="232"/>
      <c r="J204" s="233"/>
      <c r="K204" s="222"/>
      <c r="L204" s="223"/>
      <c r="M204" s="22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32"/>
      <c r="AX204" s="32"/>
      <c r="AY204" s="32"/>
      <c r="AZ204" s="5"/>
      <c r="BA204" s="5"/>
      <c r="BB204" s="5"/>
      <c r="BC204" s="5"/>
      <c r="BD204" s="5"/>
      <c r="BE204" s="5"/>
      <c r="BF204" s="5"/>
    </row>
    <row r="205" spans="2:58" s="149" customFormat="1" x14ac:dyDescent="0.25">
      <c r="B205" s="135"/>
      <c r="C205" s="111"/>
      <c r="D205" s="111"/>
      <c r="E205" s="136"/>
      <c r="F205" s="43"/>
      <c r="G205" s="5"/>
      <c r="H205" s="219"/>
      <c r="I205" s="232"/>
      <c r="J205" s="233"/>
      <c r="K205" s="222"/>
      <c r="L205" s="223"/>
      <c r="M205" s="22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32"/>
      <c r="AX205" s="32"/>
      <c r="AY205" s="32"/>
      <c r="AZ205" s="5"/>
      <c r="BA205" s="5"/>
      <c r="BB205" s="5"/>
      <c r="BC205" s="5"/>
      <c r="BD205" s="5"/>
      <c r="BE205" s="5"/>
      <c r="BF205" s="5"/>
    </row>
    <row r="206" spans="2:58" s="149" customFormat="1" x14ac:dyDescent="0.25">
      <c r="B206" s="135"/>
      <c r="C206" s="111"/>
      <c r="D206" s="111"/>
      <c r="E206" s="136"/>
      <c r="F206" s="43"/>
      <c r="G206" s="5"/>
      <c r="H206" s="219"/>
      <c r="I206" s="232"/>
      <c r="J206" s="233"/>
      <c r="K206" s="222"/>
      <c r="L206" s="223"/>
      <c r="M206" s="22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32"/>
      <c r="AX206" s="32"/>
      <c r="AY206" s="32"/>
      <c r="AZ206" s="5"/>
      <c r="BA206" s="5"/>
      <c r="BB206" s="5"/>
      <c r="BC206" s="5"/>
      <c r="BD206" s="5"/>
      <c r="BE206" s="5"/>
      <c r="BF206" s="5"/>
    </row>
    <row r="207" spans="2:58" s="149" customFormat="1" x14ac:dyDescent="0.25">
      <c r="B207" s="135"/>
      <c r="C207" s="111"/>
      <c r="D207" s="111"/>
      <c r="E207" s="136"/>
      <c r="F207" s="43"/>
      <c r="G207" s="5"/>
      <c r="H207" s="219"/>
      <c r="I207" s="232"/>
      <c r="J207" s="233"/>
      <c r="K207" s="222"/>
      <c r="L207" s="223"/>
      <c r="M207" s="22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32"/>
      <c r="AX207" s="32"/>
      <c r="AY207" s="32"/>
      <c r="AZ207" s="5"/>
      <c r="BA207" s="5"/>
      <c r="BB207" s="5"/>
      <c r="BC207" s="5"/>
      <c r="BD207" s="5"/>
      <c r="BE207" s="5"/>
      <c r="BF207" s="5"/>
    </row>
    <row r="208" spans="2:58" s="149" customFormat="1" x14ac:dyDescent="0.25">
      <c r="B208" s="135"/>
      <c r="C208" s="111"/>
      <c r="D208" s="111"/>
      <c r="E208" s="136"/>
      <c r="F208" s="43"/>
      <c r="G208" s="5"/>
      <c r="H208" s="219"/>
      <c r="I208" s="232"/>
      <c r="J208" s="233"/>
      <c r="K208" s="222"/>
      <c r="L208" s="223"/>
      <c r="M208" s="22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32"/>
      <c r="AX208" s="32"/>
      <c r="AY208" s="32"/>
      <c r="AZ208" s="5"/>
      <c r="BA208" s="5"/>
      <c r="BB208" s="5"/>
      <c r="BC208" s="5"/>
      <c r="BD208" s="5"/>
      <c r="BE208" s="5"/>
      <c r="BF208" s="5"/>
    </row>
    <row r="209" spans="2:58" s="149" customFormat="1" x14ac:dyDescent="0.25">
      <c r="B209" s="135"/>
      <c r="C209" s="111"/>
      <c r="D209" s="111"/>
      <c r="E209" s="136"/>
      <c r="F209" s="43"/>
      <c r="G209" s="5"/>
      <c r="H209" s="219"/>
      <c r="I209" s="232"/>
      <c r="J209" s="233"/>
      <c r="K209" s="222"/>
      <c r="L209" s="223"/>
      <c r="M209" s="22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32"/>
      <c r="AX209" s="32"/>
      <c r="AY209" s="32"/>
      <c r="AZ209" s="5"/>
      <c r="BA209" s="5"/>
      <c r="BB209" s="5"/>
      <c r="BC209" s="5"/>
      <c r="BD209" s="5"/>
      <c r="BE209" s="5"/>
      <c r="BF209" s="5"/>
    </row>
    <row r="210" spans="2:58" s="149" customFormat="1" x14ac:dyDescent="0.25">
      <c r="B210" s="135"/>
      <c r="C210" s="111"/>
      <c r="D210" s="111"/>
      <c r="E210" s="136"/>
      <c r="F210" s="43"/>
      <c r="G210" s="5"/>
      <c r="H210" s="219"/>
      <c r="I210" s="232"/>
      <c r="J210" s="233"/>
      <c r="K210" s="222"/>
      <c r="L210" s="223"/>
      <c r="M210" s="22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32"/>
      <c r="AX210" s="32"/>
      <c r="AY210" s="32"/>
      <c r="AZ210" s="5"/>
      <c r="BA210" s="5"/>
      <c r="BB210" s="5"/>
      <c r="BC210" s="5"/>
      <c r="BD210" s="5"/>
      <c r="BE210" s="5"/>
      <c r="BF210" s="5"/>
    </row>
    <row r="211" spans="2:58" s="149" customFormat="1" x14ac:dyDescent="0.25">
      <c r="B211" s="135"/>
      <c r="C211" s="111"/>
      <c r="D211" s="111"/>
      <c r="E211" s="136"/>
      <c r="F211" s="43"/>
      <c r="G211" s="5"/>
      <c r="H211" s="219"/>
      <c r="I211" s="232"/>
      <c r="J211" s="233"/>
      <c r="K211" s="222"/>
      <c r="L211" s="223"/>
      <c r="M211" s="22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32"/>
      <c r="AX211" s="32"/>
      <c r="AY211" s="32"/>
      <c r="AZ211" s="5"/>
      <c r="BA211" s="5"/>
      <c r="BB211" s="5"/>
      <c r="BC211" s="5"/>
      <c r="BD211" s="5"/>
      <c r="BE211" s="5"/>
      <c r="BF211" s="5"/>
    </row>
    <row r="212" spans="2:58" s="149" customFormat="1" x14ac:dyDescent="0.25">
      <c r="B212" s="135"/>
      <c r="C212" s="111"/>
      <c r="D212" s="111"/>
      <c r="E212" s="136"/>
      <c r="F212" s="43"/>
      <c r="G212" s="5"/>
      <c r="H212" s="219"/>
      <c r="I212" s="232"/>
      <c r="J212" s="233"/>
      <c r="K212" s="222"/>
      <c r="L212" s="223"/>
      <c r="M212" s="22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32"/>
      <c r="AX212" s="32"/>
      <c r="AY212" s="32"/>
      <c r="AZ212" s="5"/>
      <c r="BA212" s="5"/>
      <c r="BB212" s="5"/>
      <c r="BC212" s="5"/>
      <c r="BD212" s="5"/>
      <c r="BE212" s="5"/>
      <c r="BF212" s="5"/>
    </row>
    <row r="213" spans="2:58" s="149" customFormat="1" x14ac:dyDescent="0.25">
      <c r="B213" s="135"/>
      <c r="C213" s="111"/>
      <c r="D213" s="111"/>
      <c r="E213" s="136"/>
      <c r="F213" s="43"/>
      <c r="G213" s="5"/>
      <c r="H213" s="219"/>
      <c r="I213" s="232"/>
      <c r="J213" s="233"/>
      <c r="K213" s="222"/>
      <c r="L213" s="223"/>
      <c r="M213" s="22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32"/>
      <c r="AX213" s="32"/>
      <c r="AY213" s="32"/>
      <c r="AZ213" s="5"/>
      <c r="BA213" s="5"/>
      <c r="BB213" s="5"/>
      <c r="BC213" s="5"/>
      <c r="BD213" s="5"/>
      <c r="BE213" s="5"/>
      <c r="BF213" s="5"/>
    </row>
    <row r="214" spans="2:58" s="149" customFormat="1" x14ac:dyDescent="0.25">
      <c r="B214" s="135"/>
      <c r="C214" s="111"/>
      <c r="D214" s="111"/>
      <c r="E214" s="136"/>
      <c r="F214" s="43"/>
      <c r="G214" s="5"/>
      <c r="H214" s="219"/>
      <c r="I214" s="232"/>
      <c r="J214" s="233"/>
      <c r="K214" s="222"/>
      <c r="L214" s="223"/>
      <c r="M214" s="22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32"/>
      <c r="AX214" s="32"/>
      <c r="AY214" s="32"/>
      <c r="AZ214" s="5"/>
      <c r="BA214" s="5"/>
      <c r="BB214" s="5"/>
      <c r="BC214" s="5"/>
      <c r="BD214" s="5"/>
      <c r="BE214" s="5"/>
      <c r="BF214" s="5"/>
    </row>
    <row r="215" spans="2:58" s="149" customFormat="1" x14ac:dyDescent="0.25">
      <c r="B215" s="135"/>
      <c r="C215" s="111"/>
      <c r="D215" s="111"/>
      <c r="E215" s="136"/>
      <c r="F215" s="43"/>
      <c r="G215" s="5"/>
      <c r="H215" s="219"/>
      <c r="I215" s="232"/>
      <c r="J215" s="233"/>
      <c r="K215" s="222"/>
      <c r="L215" s="223"/>
      <c r="M215" s="22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32"/>
      <c r="AX215" s="32"/>
      <c r="AY215" s="32"/>
      <c r="AZ215" s="5"/>
      <c r="BA215" s="5"/>
      <c r="BB215" s="5"/>
      <c r="BC215" s="5"/>
      <c r="BD215" s="5"/>
      <c r="BE215" s="5"/>
      <c r="BF215" s="5"/>
    </row>
    <row r="216" spans="2:58" s="149" customFormat="1" x14ac:dyDescent="0.25">
      <c r="B216" s="135"/>
      <c r="C216" s="111"/>
      <c r="D216" s="111"/>
      <c r="E216" s="136"/>
      <c r="F216" s="43"/>
      <c r="G216" s="5"/>
      <c r="H216" s="219"/>
      <c r="I216" s="232"/>
      <c r="J216" s="233"/>
      <c r="K216" s="222"/>
      <c r="L216" s="223"/>
      <c r="M216" s="22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32"/>
      <c r="AX216" s="32"/>
      <c r="AY216" s="32"/>
      <c r="AZ216" s="5"/>
      <c r="BA216" s="5"/>
      <c r="BB216" s="5"/>
      <c r="BC216" s="5"/>
      <c r="BD216" s="5"/>
      <c r="BE216" s="5"/>
      <c r="BF216" s="5"/>
    </row>
    <row r="217" spans="2:58" s="149" customFormat="1" x14ac:dyDescent="0.25">
      <c r="B217" s="135"/>
      <c r="C217" s="111"/>
      <c r="D217" s="111"/>
      <c r="E217" s="136"/>
      <c r="F217" s="43"/>
      <c r="G217" s="5"/>
      <c r="H217" s="219"/>
      <c r="I217" s="232"/>
      <c r="J217" s="233"/>
      <c r="K217" s="222"/>
      <c r="L217" s="223"/>
      <c r="M217" s="22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32"/>
      <c r="AX217" s="32"/>
      <c r="AY217" s="32"/>
      <c r="AZ217" s="5"/>
      <c r="BA217" s="5"/>
      <c r="BB217" s="5"/>
      <c r="BC217" s="5"/>
      <c r="BD217" s="5"/>
      <c r="BE217" s="5"/>
      <c r="BF217" s="5"/>
    </row>
    <row r="218" spans="2:58" s="149" customFormat="1" x14ac:dyDescent="0.25">
      <c r="B218" s="135"/>
      <c r="C218" s="111"/>
      <c r="D218" s="111"/>
      <c r="E218" s="136"/>
      <c r="F218" s="43"/>
      <c r="G218" s="5"/>
      <c r="H218" s="219"/>
      <c r="I218" s="232"/>
      <c r="J218" s="233"/>
      <c r="K218" s="222"/>
      <c r="L218" s="223"/>
      <c r="M218" s="22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32"/>
      <c r="AX218" s="32"/>
      <c r="AY218" s="32"/>
      <c r="AZ218" s="5"/>
      <c r="BA218" s="5"/>
      <c r="BB218" s="5"/>
      <c r="BC218" s="5"/>
      <c r="BD218" s="5"/>
      <c r="BE218" s="5"/>
      <c r="BF218" s="5"/>
    </row>
    <row r="219" spans="2:58" s="149" customFormat="1" x14ac:dyDescent="0.25">
      <c r="B219" s="135"/>
      <c r="C219" s="111"/>
      <c r="D219" s="111"/>
      <c r="E219" s="136"/>
      <c r="F219" s="43"/>
      <c r="G219" s="5"/>
      <c r="H219" s="219"/>
      <c r="I219" s="232"/>
      <c r="J219" s="233"/>
      <c r="K219" s="222"/>
      <c r="L219" s="223"/>
      <c r="M219" s="22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32"/>
      <c r="AX219" s="32"/>
      <c r="AY219" s="32"/>
      <c r="AZ219" s="5"/>
      <c r="BA219" s="5"/>
      <c r="BB219" s="5"/>
      <c r="BC219" s="5"/>
      <c r="BD219" s="5"/>
      <c r="BE219" s="5"/>
      <c r="BF219" s="5"/>
    </row>
    <row r="220" spans="2:58" s="149" customFormat="1" x14ac:dyDescent="0.25">
      <c r="B220" s="135"/>
      <c r="C220" s="111"/>
      <c r="D220" s="111"/>
      <c r="E220" s="136"/>
      <c r="F220" s="43"/>
      <c r="G220" s="5"/>
      <c r="H220" s="219"/>
      <c r="I220" s="232"/>
      <c r="J220" s="233"/>
      <c r="K220" s="222"/>
      <c r="L220" s="223"/>
      <c r="M220" s="22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32"/>
      <c r="AX220" s="32"/>
      <c r="AY220" s="32"/>
      <c r="AZ220" s="5"/>
      <c r="BA220" s="5"/>
      <c r="BB220" s="5"/>
      <c r="BC220" s="5"/>
      <c r="BD220" s="5"/>
      <c r="BE220" s="5"/>
      <c r="BF220" s="5"/>
    </row>
    <row r="221" spans="2:58" s="149" customFormat="1" x14ac:dyDescent="0.25">
      <c r="B221" s="135"/>
      <c r="C221" s="111"/>
      <c r="D221" s="111"/>
      <c r="E221" s="136"/>
      <c r="F221" s="43"/>
      <c r="G221" s="5"/>
      <c r="H221" s="219"/>
      <c r="I221" s="232"/>
      <c r="J221" s="233"/>
      <c r="K221" s="222"/>
      <c r="L221" s="223"/>
      <c r="M221" s="22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32"/>
      <c r="AX221" s="32"/>
      <c r="AY221" s="32"/>
      <c r="AZ221" s="5"/>
      <c r="BA221" s="5"/>
      <c r="BB221" s="5"/>
      <c r="BC221" s="5"/>
      <c r="BD221" s="5"/>
      <c r="BE221" s="5"/>
      <c r="BF221" s="5"/>
    </row>
    <row r="222" spans="2:58" s="149" customFormat="1" x14ac:dyDescent="0.25">
      <c r="B222" s="135"/>
      <c r="C222" s="111"/>
      <c r="D222" s="111"/>
      <c r="E222" s="136"/>
      <c r="F222" s="43"/>
      <c r="G222" s="5"/>
      <c r="H222" s="219"/>
      <c r="I222" s="232"/>
      <c r="J222" s="233"/>
      <c r="K222" s="222"/>
      <c r="L222" s="223"/>
      <c r="M222" s="22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32"/>
      <c r="AX222" s="32"/>
      <c r="AY222" s="32"/>
      <c r="AZ222" s="5"/>
      <c r="BA222" s="5"/>
      <c r="BB222" s="5"/>
      <c r="BC222" s="5"/>
      <c r="BD222" s="5"/>
      <c r="BE222" s="5"/>
      <c r="BF222" s="5"/>
    </row>
    <row r="223" spans="2:58" s="149" customFormat="1" x14ac:dyDescent="0.25">
      <c r="B223" s="135"/>
      <c r="C223" s="111"/>
      <c r="D223" s="111"/>
      <c r="E223" s="136"/>
      <c r="F223" s="43"/>
      <c r="G223" s="5"/>
      <c r="H223" s="219"/>
      <c r="I223" s="232"/>
      <c r="J223" s="233"/>
      <c r="K223" s="222"/>
      <c r="L223" s="223"/>
      <c r="M223" s="22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32"/>
      <c r="AX223" s="32"/>
      <c r="AY223" s="32"/>
      <c r="AZ223" s="5"/>
      <c r="BA223" s="5"/>
      <c r="BB223" s="5"/>
      <c r="BC223" s="5"/>
      <c r="BD223" s="5"/>
      <c r="BE223" s="5"/>
      <c r="BF223" s="5"/>
    </row>
    <row r="224" spans="2:58" s="149" customFormat="1" x14ac:dyDescent="0.25">
      <c r="B224" s="135"/>
      <c r="C224" s="111"/>
      <c r="D224" s="111"/>
      <c r="E224" s="136"/>
      <c r="F224" s="43"/>
      <c r="G224" s="5"/>
      <c r="H224" s="219"/>
      <c r="I224" s="232"/>
      <c r="J224" s="233"/>
      <c r="K224" s="222"/>
      <c r="L224" s="223"/>
      <c r="M224" s="22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32"/>
      <c r="AX224" s="32"/>
      <c r="AY224" s="32"/>
      <c r="AZ224" s="5"/>
      <c r="BA224" s="5"/>
      <c r="BB224" s="5"/>
      <c r="BC224" s="5"/>
      <c r="BD224" s="5"/>
      <c r="BE224" s="5"/>
      <c r="BF224" s="5"/>
    </row>
    <row r="225" spans="2:58" s="149" customFormat="1" x14ac:dyDescent="0.25">
      <c r="B225" s="135"/>
      <c r="C225" s="111"/>
      <c r="D225" s="111"/>
      <c r="E225" s="136"/>
      <c r="F225" s="43"/>
      <c r="G225" s="5"/>
      <c r="H225" s="219"/>
      <c r="I225" s="232"/>
      <c r="J225" s="233"/>
      <c r="K225" s="222"/>
      <c r="L225" s="223"/>
      <c r="M225" s="22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32"/>
      <c r="AX225" s="32"/>
      <c r="AY225" s="32"/>
      <c r="AZ225" s="5"/>
      <c r="BA225" s="5"/>
      <c r="BB225" s="5"/>
      <c r="BC225" s="5"/>
      <c r="BD225" s="5"/>
      <c r="BE225" s="5"/>
      <c r="BF225" s="5"/>
    </row>
    <row r="226" spans="2:58" s="149" customFormat="1" x14ac:dyDescent="0.25">
      <c r="B226" s="135"/>
      <c r="C226" s="111"/>
      <c r="D226" s="111"/>
      <c r="E226" s="136"/>
      <c r="F226" s="43"/>
      <c r="G226" s="5"/>
      <c r="H226" s="219"/>
      <c r="I226" s="232"/>
      <c r="J226" s="233"/>
      <c r="K226" s="222"/>
      <c r="L226" s="223"/>
      <c r="M226" s="22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32"/>
      <c r="AX226" s="32"/>
      <c r="AY226" s="32"/>
      <c r="AZ226" s="5"/>
      <c r="BA226" s="5"/>
      <c r="BB226" s="5"/>
      <c r="BC226" s="5"/>
      <c r="BD226" s="5"/>
      <c r="BE226" s="5"/>
      <c r="BF226" s="5"/>
    </row>
    <row r="227" spans="2:58" s="149" customFormat="1" x14ac:dyDescent="0.25">
      <c r="B227" s="135"/>
      <c r="C227" s="111"/>
      <c r="D227" s="111"/>
      <c r="E227" s="136"/>
      <c r="F227" s="43"/>
      <c r="G227" s="5"/>
      <c r="H227" s="219"/>
      <c r="I227" s="232"/>
      <c r="J227" s="233"/>
      <c r="K227" s="222"/>
      <c r="L227" s="223"/>
      <c r="M227" s="22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32"/>
      <c r="AX227" s="32"/>
      <c r="AY227" s="32"/>
      <c r="AZ227" s="5"/>
      <c r="BA227" s="5"/>
      <c r="BB227" s="5"/>
      <c r="BC227" s="5"/>
      <c r="BD227" s="5"/>
      <c r="BE227" s="5"/>
      <c r="BF227" s="5"/>
    </row>
    <row r="228" spans="2:58" s="149" customFormat="1" x14ac:dyDescent="0.25">
      <c r="B228" s="135"/>
      <c r="C228" s="111"/>
      <c r="D228" s="111"/>
      <c r="E228" s="136"/>
      <c r="F228" s="43"/>
      <c r="G228" s="5"/>
      <c r="H228" s="219"/>
      <c r="I228" s="232"/>
      <c r="J228" s="233"/>
      <c r="K228" s="222"/>
      <c r="L228" s="223"/>
      <c r="M228" s="22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32"/>
      <c r="AX228" s="32"/>
      <c r="AY228" s="32"/>
      <c r="AZ228" s="5"/>
      <c r="BA228" s="5"/>
      <c r="BB228" s="5"/>
      <c r="BC228" s="5"/>
      <c r="BD228" s="5"/>
      <c r="BE228" s="5"/>
      <c r="BF228" s="5"/>
    </row>
    <row r="229" spans="2:58" s="149" customFormat="1" x14ac:dyDescent="0.25">
      <c r="B229" s="135"/>
      <c r="C229" s="111"/>
      <c r="D229" s="111"/>
      <c r="E229" s="136"/>
      <c r="F229" s="43"/>
      <c r="G229" s="5"/>
      <c r="H229" s="219"/>
      <c r="I229" s="232"/>
      <c r="J229" s="233"/>
      <c r="K229" s="222"/>
      <c r="L229" s="223"/>
      <c r="M229" s="22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32"/>
      <c r="AX229" s="32"/>
      <c r="AY229" s="32"/>
      <c r="AZ229" s="5"/>
      <c r="BA229" s="5"/>
      <c r="BB229" s="5"/>
      <c r="BC229" s="5"/>
      <c r="BD229" s="5"/>
      <c r="BE229" s="5"/>
      <c r="BF229" s="5"/>
    </row>
    <row r="230" spans="2:58" s="149" customFormat="1" x14ac:dyDescent="0.25">
      <c r="B230" s="135"/>
      <c r="C230" s="111"/>
      <c r="D230" s="111"/>
      <c r="E230" s="136"/>
      <c r="F230" s="43"/>
      <c r="G230" s="5"/>
      <c r="H230" s="219"/>
      <c r="I230" s="232"/>
      <c r="J230" s="233"/>
      <c r="K230" s="222"/>
      <c r="L230" s="223"/>
      <c r="M230" s="22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32"/>
      <c r="AX230" s="32"/>
      <c r="AY230" s="32"/>
      <c r="AZ230" s="5"/>
      <c r="BA230" s="5"/>
      <c r="BB230" s="5"/>
      <c r="BC230" s="5"/>
      <c r="BD230" s="5"/>
      <c r="BE230" s="5"/>
      <c r="BF230" s="5"/>
    </row>
    <row r="231" spans="2:58" s="149" customFormat="1" x14ac:dyDescent="0.25">
      <c r="B231" s="135"/>
      <c r="C231" s="111"/>
      <c r="D231" s="111"/>
      <c r="E231" s="136"/>
      <c r="F231" s="43"/>
      <c r="G231" s="5"/>
      <c r="H231" s="219"/>
      <c r="I231" s="232"/>
      <c r="J231" s="233"/>
      <c r="K231" s="222"/>
      <c r="L231" s="223"/>
      <c r="M231" s="22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32"/>
      <c r="AX231" s="32"/>
      <c r="AY231" s="32"/>
      <c r="AZ231" s="5"/>
      <c r="BA231" s="5"/>
      <c r="BB231" s="5"/>
      <c r="BC231" s="5"/>
      <c r="BD231" s="5"/>
      <c r="BE231" s="5"/>
      <c r="BF231" s="5"/>
    </row>
    <row r="232" spans="2:58" s="149" customFormat="1" x14ac:dyDescent="0.25">
      <c r="B232" s="135"/>
      <c r="C232" s="111"/>
      <c r="D232" s="111"/>
      <c r="E232" s="136"/>
      <c r="F232" s="43"/>
      <c r="G232" s="5"/>
      <c r="H232" s="219"/>
      <c r="I232" s="232"/>
      <c r="J232" s="233"/>
      <c r="K232" s="222"/>
      <c r="L232" s="223"/>
      <c r="M232" s="22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32"/>
      <c r="AX232" s="32"/>
      <c r="AY232" s="32"/>
      <c r="AZ232" s="5"/>
      <c r="BA232" s="5"/>
      <c r="BB232" s="5"/>
      <c r="BC232" s="5"/>
      <c r="BD232" s="5"/>
      <c r="BE232" s="5"/>
      <c r="BF232" s="5"/>
    </row>
    <row r="233" spans="2:58" s="149" customFormat="1" x14ac:dyDescent="0.25">
      <c r="B233" s="135"/>
      <c r="C233" s="111"/>
      <c r="D233" s="111"/>
      <c r="E233" s="136"/>
      <c r="F233" s="43"/>
      <c r="G233" s="5"/>
      <c r="H233" s="219"/>
      <c r="I233" s="232"/>
      <c r="J233" s="233"/>
      <c r="K233" s="222"/>
      <c r="L233" s="223"/>
      <c r="M233" s="22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32"/>
      <c r="AX233" s="32"/>
      <c r="AY233" s="32"/>
      <c r="AZ233" s="5"/>
      <c r="BA233" s="5"/>
      <c r="BB233" s="5"/>
      <c r="BC233" s="5"/>
      <c r="BD233" s="5"/>
      <c r="BE233" s="5"/>
      <c r="BF233" s="5"/>
    </row>
    <row r="234" spans="2:58" s="149" customFormat="1" x14ac:dyDescent="0.25">
      <c r="B234" s="135"/>
      <c r="C234" s="111"/>
      <c r="D234" s="111"/>
      <c r="E234" s="136"/>
      <c r="F234" s="43"/>
      <c r="G234" s="5"/>
      <c r="H234" s="219"/>
      <c r="I234" s="232"/>
      <c r="J234" s="233"/>
      <c r="K234" s="222"/>
      <c r="L234" s="223"/>
      <c r="M234" s="22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32"/>
      <c r="AX234" s="32"/>
      <c r="AY234" s="32"/>
      <c r="AZ234" s="5"/>
      <c r="BA234" s="5"/>
      <c r="BB234" s="5"/>
      <c r="BC234" s="5"/>
      <c r="BD234" s="5"/>
      <c r="BE234" s="5"/>
      <c r="BF234" s="5"/>
    </row>
    <row r="235" spans="2:58" s="149" customFormat="1" x14ac:dyDescent="0.25">
      <c r="B235" s="135"/>
      <c r="C235" s="111"/>
      <c r="D235" s="111"/>
      <c r="E235" s="136"/>
      <c r="F235" s="43"/>
      <c r="G235" s="5"/>
      <c r="H235" s="219"/>
      <c r="I235" s="232"/>
      <c r="J235" s="233"/>
      <c r="K235" s="222"/>
      <c r="L235" s="223"/>
      <c r="M235" s="22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32"/>
      <c r="AX235" s="32"/>
      <c r="AY235" s="32"/>
      <c r="AZ235" s="5"/>
      <c r="BA235" s="5"/>
      <c r="BB235" s="5"/>
      <c r="BC235" s="5"/>
      <c r="BD235" s="5"/>
      <c r="BE235" s="5"/>
      <c r="BF235" s="5"/>
    </row>
    <row r="236" spans="2:58" s="149" customFormat="1" x14ac:dyDescent="0.25">
      <c r="B236" s="135"/>
      <c r="C236" s="111"/>
      <c r="D236" s="111"/>
      <c r="E236" s="136"/>
      <c r="F236" s="43"/>
      <c r="G236" s="5"/>
      <c r="H236" s="219"/>
      <c r="I236" s="232"/>
      <c r="J236" s="233"/>
      <c r="K236" s="222"/>
      <c r="L236" s="223"/>
      <c r="M236" s="22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32"/>
      <c r="AX236" s="32"/>
      <c r="AY236" s="32"/>
      <c r="AZ236" s="5"/>
      <c r="BA236" s="5"/>
      <c r="BB236" s="5"/>
      <c r="BC236" s="5"/>
      <c r="BD236" s="5"/>
      <c r="BE236" s="5"/>
      <c r="BF236" s="5"/>
    </row>
    <row r="237" spans="2:58" s="149" customFormat="1" x14ac:dyDescent="0.25">
      <c r="B237" s="135"/>
      <c r="C237" s="111"/>
      <c r="D237" s="111"/>
      <c r="E237" s="136"/>
      <c r="F237" s="43"/>
      <c r="G237" s="5"/>
      <c r="H237" s="219"/>
      <c r="I237" s="232"/>
      <c r="J237" s="233"/>
      <c r="K237" s="222"/>
      <c r="L237" s="223"/>
      <c r="M237" s="22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32"/>
      <c r="AX237" s="32"/>
      <c r="AY237" s="32"/>
      <c r="AZ237" s="5"/>
      <c r="BA237" s="5"/>
      <c r="BB237" s="5"/>
      <c r="BC237" s="5"/>
      <c r="BD237" s="5"/>
      <c r="BE237" s="5"/>
      <c r="BF237" s="5"/>
    </row>
    <row r="238" spans="2:58" s="149" customFormat="1" x14ac:dyDescent="0.25">
      <c r="B238" s="135"/>
      <c r="C238" s="111"/>
      <c r="D238" s="111"/>
      <c r="E238" s="136"/>
      <c r="F238" s="43"/>
      <c r="G238" s="5"/>
      <c r="H238" s="219"/>
      <c r="I238" s="232"/>
      <c r="J238" s="233"/>
      <c r="K238" s="222"/>
      <c r="L238" s="223"/>
      <c r="M238" s="22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32"/>
      <c r="AX238" s="32"/>
      <c r="AY238" s="32"/>
      <c r="AZ238" s="5"/>
      <c r="BA238" s="5"/>
      <c r="BB238" s="5"/>
      <c r="BC238" s="5"/>
      <c r="BD238" s="5"/>
      <c r="BE238" s="5"/>
      <c r="BF238" s="5"/>
    </row>
    <row r="239" spans="2:58" s="149" customFormat="1" x14ac:dyDescent="0.25">
      <c r="B239" s="135"/>
      <c r="C239" s="111"/>
      <c r="D239" s="111"/>
      <c r="E239" s="136"/>
      <c r="F239" s="43"/>
      <c r="G239" s="5"/>
      <c r="H239" s="219"/>
      <c r="I239" s="232"/>
      <c r="J239" s="233"/>
      <c r="K239" s="222"/>
      <c r="L239" s="223"/>
      <c r="M239" s="22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32"/>
      <c r="AX239" s="32"/>
      <c r="AY239" s="32"/>
      <c r="AZ239" s="5"/>
      <c r="BA239" s="5"/>
      <c r="BB239" s="5"/>
      <c r="BC239" s="5"/>
      <c r="BD239" s="5"/>
      <c r="BE239" s="5"/>
      <c r="BF239" s="5"/>
    </row>
    <row r="240" spans="2:58" s="149" customFormat="1" x14ac:dyDescent="0.25">
      <c r="B240" s="135"/>
      <c r="C240" s="111"/>
      <c r="D240" s="111"/>
      <c r="E240" s="136"/>
      <c r="F240" s="43"/>
      <c r="G240" s="5"/>
      <c r="H240" s="219"/>
      <c r="I240" s="232"/>
      <c r="J240" s="233"/>
      <c r="K240" s="222"/>
      <c r="L240" s="223"/>
      <c r="M240" s="22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32"/>
      <c r="AX240" s="32"/>
      <c r="AY240" s="32"/>
      <c r="AZ240" s="5"/>
      <c r="BA240" s="5"/>
      <c r="BB240" s="5"/>
      <c r="BC240" s="5"/>
      <c r="BD240" s="5"/>
      <c r="BE240" s="5"/>
      <c r="BF240" s="5"/>
    </row>
    <row r="241" spans="2:58" s="149" customFormat="1" x14ac:dyDescent="0.25">
      <c r="B241" s="135"/>
      <c r="C241" s="111"/>
      <c r="D241" s="111"/>
      <c r="E241" s="136"/>
      <c r="F241" s="43"/>
      <c r="G241" s="5"/>
      <c r="H241" s="219"/>
      <c r="I241" s="232"/>
      <c r="J241" s="233"/>
      <c r="K241" s="222"/>
      <c r="L241" s="223"/>
      <c r="M241" s="22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32"/>
      <c r="AX241" s="32"/>
      <c r="AY241" s="32"/>
      <c r="AZ241" s="5"/>
      <c r="BA241" s="5"/>
      <c r="BB241" s="5"/>
      <c r="BC241" s="5"/>
      <c r="BD241" s="5"/>
      <c r="BE241" s="5"/>
      <c r="BF241" s="5"/>
    </row>
    <row r="242" spans="2:58" s="149" customFormat="1" x14ac:dyDescent="0.25">
      <c r="B242" s="135"/>
      <c r="C242" s="111"/>
      <c r="D242" s="111"/>
      <c r="E242" s="136"/>
      <c r="F242" s="43"/>
      <c r="G242" s="5"/>
      <c r="H242" s="219"/>
      <c r="I242" s="232"/>
      <c r="J242" s="233"/>
      <c r="K242" s="222"/>
      <c r="L242" s="223"/>
      <c r="M242" s="22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32"/>
      <c r="AX242" s="32"/>
      <c r="AY242" s="32"/>
      <c r="AZ242" s="5"/>
      <c r="BA242" s="5"/>
      <c r="BB242" s="5"/>
      <c r="BC242" s="5"/>
      <c r="BD242" s="5"/>
      <c r="BE242" s="5"/>
      <c r="BF242" s="5"/>
    </row>
    <row r="243" spans="2:58" s="149" customFormat="1" x14ac:dyDescent="0.25">
      <c r="B243" s="135"/>
      <c r="C243" s="111"/>
      <c r="D243" s="111"/>
      <c r="E243" s="136"/>
      <c r="F243" s="43"/>
      <c r="G243" s="5"/>
      <c r="H243" s="219"/>
      <c r="I243" s="232"/>
      <c r="J243" s="233"/>
      <c r="K243" s="222"/>
      <c r="L243" s="223"/>
      <c r="M243" s="22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32"/>
      <c r="AX243" s="32"/>
      <c r="AY243" s="32"/>
      <c r="AZ243" s="5"/>
      <c r="BA243" s="5"/>
      <c r="BB243" s="5"/>
      <c r="BC243" s="5"/>
      <c r="BD243" s="5"/>
      <c r="BE243" s="5"/>
      <c r="BF243" s="5"/>
    </row>
    <row r="244" spans="2:58" s="149" customFormat="1" x14ac:dyDescent="0.25">
      <c r="B244" s="135"/>
      <c r="C244" s="111"/>
      <c r="D244" s="111"/>
      <c r="E244" s="136"/>
      <c r="F244" s="43"/>
      <c r="G244" s="5"/>
      <c r="H244" s="219"/>
      <c r="I244" s="232"/>
      <c r="J244" s="233"/>
      <c r="K244" s="222"/>
      <c r="L244" s="223"/>
      <c r="M244" s="22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32"/>
      <c r="AX244" s="32"/>
      <c r="AY244" s="32"/>
      <c r="AZ244" s="5"/>
      <c r="BA244" s="5"/>
      <c r="BB244" s="5"/>
      <c r="BC244" s="5"/>
      <c r="BD244" s="5"/>
      <c r="BE244" s="5"/>
      <c r="BF244" s="5"/>
    </row>
    <row r="245" spans="2:58" s="149" customFormat="1" x14ac:dyDescent="0.25">
      <c r="B245" s="135"/>
      <c r="C245" s="111"/>
      <c r="D245" s="111"/>
      <c r="E245" s="136"/>
      <c r="F245" s="43"/>
      <c r="G245" s="5"/>
      <c r="H245" s="219"/>
      <c r="I245" s="232"/>
      <c r="J245" s="233"/>
      <c r="K245" s="222"/>
      <c r="L245" s="223"/>
      <c r="M245" s="22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32"/>
      <c r="AX245" s="32"/>
      <c r="AY245" s="32"/>
      <c r="AZ245" s="5"/>
      <c r="BA245" s="5"/>
      <c r="BB245" s="5"/>
      <c r="BC245" s="5"/>
      <c r="BD245" s="5"/>
      <c r="BE245" s="5"/>
      <c r="BF245" s="5"/>
    </row>
    <row r="246" spans="2:58" s="149" customFormat="1" x14ac:dyDescent="0.25">
      <c r="B246" s="135"/>
      <c r="C246" s="111"/>
      <c r="D246" s="111"/>
      <c r="E246" s="136"/>
      <c r="F246" s="43"/>
      <c r="G246" s="5"/>
      <c r="H246" s="219"/>
      <c r="I246" s="232"/>
      <c r="J246" s="233"/>
      <c r="K246" s="222"/>
      <c r="L246" s="223"/>
      <c r="M246" s="22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32"/>
      <c r="AX246" s="32"/>
      <c r="AY246" s="32"/>
      <c r="AZ246" s="5"/>
      <c r="BA246" s="5"/>
      <c r="BB246" s="5"/>
      <c r="BC246" s="5"/>
      <c r="BD246" s="5"/>
      <c r="BE246" s="5"/>
      <c r="BF246" s="5"/>
    </row>
    <row r="247" spans="2:58" s="149" customFormat="1" x14ac:dyDescent="0.25">
      <c r="B247" s="135"/>
      <c r="C247" s="111"/>
      <c r="D247" s="111"/>
      <c r="E247" s="136"/>
      <c r="F247" s="43"/>
      <c r="G247" s="5"/>
      <c r="H247" s="219"/>
      <c r="I247" s="232"/>
      <c r="J247" s="233"/>
      <c r="K247" s="222"/>
      <c r="L247" s="223"/>
      <c r="M247" s="22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32"/>
      <c r="AX247" s="32"/>
      <c r="AY247" s="32"/>
      <c r="AZ247" s="5"/>
      <c r="BA247" s="5"/>
      <c r="BB247" s="5"/>
      <c r="BC247" s="5"/>
      <c r="BD247" s="5"/>
      <c r="BE247" s="5"/>
      <c r="BF247" s="5"/>
    </row>
    <row r="248" spans="2:58" s="149" customFormat="1" x14ac:dyDescent="0.25">
      <c r="B248" s="135"/>
      <c r="C248" s="111"/>
      <c r="D248" s="111"/>
      <c r="E248" s="136"/>
      <c r="F248" s="43"/>
      <c r="G248" s="5"/>
      <c r="H248" s="219"/>
      <c r="I248" s="232"/>
      <c r="J248" s="233"/>
      <c r="K248" s="222"/>
      <c r="L248" s="223"/>
      <c r="M248" s="22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32"/>
      <c r="AX248" s="32"/>
      <c r="AY248" s="32"/>
      <c r="AZ248" s="5"/>
      <c r="BA248" s="5"/>
      <c r="BB248" s="5"/>
      <c r="BC248" s="5"/>
      <c r="BD248" s="5"/>
      <c r="BE248" s="5"/>
      <c r="BF248" s="5"/>
    </row>
    <row r="249" spans="2:58" s="149" customFormat="1" x14ac:dyDescent="0.25">
      <c r="B249" s="135"/>
      <c r="C249" s="111"/>
      <c r="D249" s="111"/>
      <c r="E249" s="136"/>
      <c r="F249" s="43"/>
      <c r="G249" s="5"/>
      <c r="H249" s="219"/>
      <c r="I249" s="232"/>
      <c r="J249" s="233"/>
      <c r="K249" s="222"/>
      <c r="L249" s="223"/>
      <c r="M249" s="22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32"/>
      <c r="AX249" s="32"/>
      <c r="AY249" s="32"/>
      <c r="AZ249" s="5"/>
      <c r="BA249" s="5"/>
      <c r="BB249" s="5"/>
      <c r="BC249" s="5"/>
      <c r="BD249" s="5"/>
      <c r="BE249" s="5"/>
      <c r="BF249" s="5"/>
    </row>
    <row r="250" spans="2:58" s="149" customFormat="1" x14ac:dyDescent="0.25">
      <c r="B250" s="135"/>
      <c r="C250" s="111"/>
      <c r="D250" s="111"/>
      <c r="E250" s="136"/>
      <c r="F250" s="43"/>
      <c r="G250" s="5"/>
      <c r="H250" s="219"/>
      <c r="I250" s="232"/>
      <c r="J250" s="233"/>
      <c r="K250" s="222"/>
      <c r="L250" s="223"/>
      <c r="M250" s="22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32"/>
      <c r="AX250" s="32"/>
      <c r="AY250" s="32"/>
      <c r="AZ250" s="5"/>
      <c r="BA250" s="5"/>
      <c r="BB250" s="5"/>
      <c r="BC250" s="5"/>
      <c r="BD250" s="5"/>
      <c r="BE250" s="5"/>
      <c r="BF250" s="5"/>
    </row>
    <row r="251" spans="2:58" s="149" customFormat="1" x14ac:dyDescent="0.25">
      <c r="B251" s="135"/>
      <c r="C251" s="111"/>
      <c r="D251" s="111"/>
      <c r="E251" s="136"/>
      <c r="F251" s="43"/>
      <c r="G251" s="5"/>
      <c r="H251" s="219"/>
      <c r="I251" s="232"/>
      <c r="J251" s="233"/>
      <c r="K251" s="222"/>
      <c r="L251" s="223"/>
      <c r="M251" s="22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32"/>
      <c r="AX251" s="32"/>
      <c r="AY251" s="32"/>
      <c r="AZ251" s="5"/>
      <c r="BA251" s="5"/>
      <c r="BB251" s="5"/>
      <c r="BC251" s="5"/>
      <c r="BD251" s="5"/>
      <c r="BE251" s="5"/>
      <c r="BF251" s="5"/>
    </row>
    <row r="252" spans="2:58" s="149" customFormat="1" x14ac:dyDescent="0.25">
      <c r="B252" s="135"/>
      <c r="C252" s="111"/>
      <c r="D252" s="111"/>
      <c r="E252" s="136"/>
      <c r="F252" s="43"/>
      <c r="G252" s="5"/>
      <c r="H252" s="219"/>
      <c r="I252" s="232"/>
      <c r="J252" s="233"/>
      <c r="K252" s="222"/>
      <c r="L252" s="223"/>
      <c r="M252" s="22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32"/>
      <c r="AX252" s="32"/>
      <c r="AY252" s="32"/>
      <c r="AZ252" s="5"/>
      <c r="BA252" s="5"/>
      <c r="BB252" s="5"/>
      <c r="BC252" s="5"/>
      <c r="BD252" s="5"/>
      <c r="BE252" s="5"/>
      <c r="BF252" s="5"/>
    </row>
    <row r="253" spans="2:58" s="149" customFormat="1" x14ac:dyDescent="0.25">
      <c r="B253" s="135"/>
      <c r="C253" s="111"/>
      <c r="D253" s="111"/>
      <c r="E253" s="136"/>
      <c r="F253" s="43"/>
      <c r="G253" s="5"/>
      <c r="H253" s="219"/>
      <c r="I253" s="232"/>
      <c r="J253" s="233"/>
      <c r="K253" s="222"/>
      <c r="L253" s="223"/>
      <c r="M253" s="22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32"/>
      <c r="AX253" s="32"/>
      <c r="AY253" s="32"/>
      <c r="AZ253" s="5"/>
      <c r="BA253" s="5"/>
      <c r="BB253" s="5"/>
      <c r="BC253" s="5"/>
      <c r="BD253" s="5"/>
      <c r="BE253" s="5"/>
      <c r="BF253" s="5"/>
    </row>
    <row r="254" spans="2:58" s="149" customFormat="1" x14ac:dyDescent="0.25">
      <c r="B254" s="135"/>
      <c r="C254" s="111"/>
      <c r="D254" s="111"/>
      <c r="E254" s="136"/>
      <c r="F254" s="43"/>
      <c r="G254" s="5"/>
      <c r="H254" s="219"/>
      <c r="I254" s="232"/>
      <c r="J254" s="233"/>
      <c r="K254" s="222"/>
      <c r="L254" s="223"/>
      <c r="M254" s="22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32"/>
      <c r="AX254" s="32"/>
      <c r="AY254" s="32"/>
      <c r="AZ254" s="5"/>
      <c r="BA254" s="5"/>
      <c r="BB254" s="5"/>
      <c r="BC254" s="5"/>
      <c r="BD254" s="5"/>
      <c r="BE254" s="5"/>
      <c r="BF254" s="5"/>
    </row>
    <row r="255" spans="2:58" s="149" customFormat="1" x14ac:dyDescent="0.25">
      <c r="B255" s="135"/>
      <c r="C255" s="111"/>
      <c r="D255" s="111"/>
      <c r="E255" s="136"/>
      <c r="F255" s="43"/>
      <c r="G255" s="5"/>
      <c r="H255" s="219"/>
      <c r="I255" s="232"/>
      <c r="J255" s="233"/>
      <c r="K255" s="222"/>
      <c r="L255" s="223"/>
      <c r="M255" s="22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32"/>
      <c r="AX255" s="32"/>
      <c r="AY255" s="32"/>
      <c r="AZ255" s="5"/>
      <c r="BA255" s="5"/>
      <c r="BB255" s="5"/>
      <c r="BC255" s="5"/>
      <c r="BD255" s="5"/>
      <c r="BE255" s="5"/>
      <c r="BF255" s="5"/>
    </row>
    <row r="256" spans="2:58" s="149" customFormat="1" x14ac:dyDescent="0.25">
      <c r="B256" s="135"/>
      <c r="C256" s="111"/>
      <c r="D256" s="111"/>
      <c r="E256" s="136"/>
      <c r="F256" s="43"/>
      <c r="G256" s="5"/>
      <c r="H256" s="219"/>
      <c r="I256" s="232"/>
      <c r="J256" s="233"/>
      <c r="K256" s="222"/>
      <c r="L256" s="223"/>
      <c r="M256" s="22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32"/>
      <c r="AX256" s="32"/>
      <c r="AY256" s="32"/>
      <c r="AZ256" s="5"/>
      <c r="BA256" s="5"/>
      <c r="BB256" s="5"/>
      <c r="BC256" s="5"/>
      <c r="BD256" s="5"/>
      <c r="BE256" s="5"/>
      <c r="BF256" s="5"/>
    </row>
    <row r="257" spans="2:58" s="149" customFormat="1" x14ac:dyDescent="0.25">
      <c r="B257" s="135"/>
      <c r="C257" s="111"/>
      <c r="D257" s="111"/>
      <c r="E257" s="136"/>
      <c r="F257" s="43"/>
      <c r="G257" s="5"/>
      <c r="H257" s="219"/>
      <c r="I257" s="232"/>
      <c r="J257" s="233"/>
      <c r="K257" s="222"/>
      <c r="L257" s="223"/>
      <c r="M257" s="22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32"/>
      <c r="AX257" s="32"/>
      <c r="AY257" s="32"/>
      <c r="AZ257" s="5"/>
      <c r="BA257" s="5"/>
      <c r="BB257" s="5"/>
      <c r="BC257" s="5"/>
      <c r="BD257" s="5"/>
      <c r="BE257" s="5"/>
      <c r="BF257" s="5"/>
    </row>
    <row r="258" spans="2:58" s="149" customFormat="1" x14ac:dyDescent="0.25">
      <c r="B258" s="135"/>
      <c r="C258" s="111"/>
      <c r="D258" s="111"/>
      <c r="E258" s="136"/>
      <c r="F258" s="43"/>
      <c r="G258" s="5"/>
      <c r="H258" s="219"/>
      <c r="I258" s="232"/>
      <c r="J258" s="233"/>
      <c r="K258" s="222"/>
      <c r="L258" s="223"/>
      <c r="M258" s="22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32"/>
      <c r="AX258" s="32"/>
      <c r="AY258" s="32"/>
      <c r="AZ258" s="5"/>
      <c r="BA258" s="5"/>
      <c r="BB258" s="5"/>
      <c r="BC258" s="5"/>
      <c r="BD258" s="5"/>
      <c r="BE258" s="5"/>
      <c r="BF258" s="5"/>
    </row>
    <row r="259" spans="2:58" s="149" customFormat="1" x14ac:dyDescent="0.25">
      <c r="B259" s="135"/>
      <c r="C259" s="111"/>
      <c r="D259" s="111"/>
      <c r="E259" s="136"/>
      <c r="F259" s="43"/>
      <c r="G259" s="5"/>
      <c r="H259" s="219"/>
      <c r="I259" s="232"/>
      <c r="J259" s="233"/>
      <c r="K259" s="222"/>
      <c r="L259" s="223"/>
      <c r="M259" s="22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32"/>
      <c r="AX259" s="32"/>
      <c r="AY259" s="32"/>
      <c r="AZ259" s="5"/>
      <c r="BA259" s="5"/>
      <c r="BB259" s="5"/>
      <c r="BC259" s="5"/>
      <c r="BD259" s="5"/>
      <c r="BE259" s="5"/>
      <c r="BF259" s="5"/>
    </row>
    <row r="260" spans="2:58" s="149" customFormat="1" x14ac:dyDescent="0.25">
      <c r="B260" s="135"/>
      <c r="C260" s="111"/>
      <c r="D260" s="111"/>
      <c r="E260" s="136"/>
      <c r="F260" s="43"/>
      <c r="G260" s="5"/>
      <c r="H260" s="219"/>
      <c r="I260" s="232"/>
      <c r="J260" s="233"/>
      <c r="K260" s="222"/>
      <c r="L260" s="223"/>
      <c r="M260" s="22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32"/>
      <c r="AX260" s="32"/>
      <c r="AY260" s="32"/>
      <c r="AZ260" s="5"/>
      <c r="BA260" s="5"/>
      <c r="BB260" s="5"/>
      <c r="BC260" s="5"/>
      <c r="BD260" s="5"/>
      <c r="BE260" s="5"/>
      <c r="BF260" s="5"/>
    </row>
    <row r="261" spans="2:58" s="149" customFormat="1" x14ac:dyDescent="0.25">
      <c r="B261" s="135"/>
      <c r="C261" s="111"/>
      <c r="D261" s="111"/>
      <c r="E261" s="136"/>
      <c r="F261" s="43"/>
      <c r="G261" s="5"/>
      <c r="H261" s="219"/>
      <c r="I261" s="232"/>
      <c r="J261" s="233"/>
      <c r="K261" s="222"/>
      <c r="L261" s="223"/>
      <c r="M261" s="22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32"/>
      <c r="AX261" s="32"/>
      <c r="AY261" s="32"/>
      <c r="AZ261" s="5"/>
      <c r="BA261" s="5"/>
      <c r="BB261" s="5"/>
      <c r="BC261" s="5"/>
      <c r="BD261" s="5"/>
      <c r="BE261" s="5"/>
      <c r="BF261" s="5"/>
    </row>
    <row r="262" spans="2:58" s="149" customFormat="1" x14ac:dyDescent="0.25">
      <c r="B262" s="135"/>
      <c r="C262" s="111"/>
      <c r="D262" s="111"/>
      <c r="E262" s="136"/>
      <c r="F262" s="43"/>
      <c r="G262" s="5"/>
      <c r="H262" s="219"/>
      <c r="I262" s="232"/>
      <c r="J262" s="233"/>
      <c r="K262" s="222"/>
      <c r="L262" s="223"/>
      <c r="M262" s="22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32"/>
      <c r="AX262" s="32"/>
      <c r="AY262" s="32"/>
      <c r="AZ262" s="5"/>
      <c r="BA262" s="5"/>
      <c r="BB262" s="5"/>
      <c r="BC262" s="5"/>
      <c r="BD262" s="5"/>
      <c r="BE262" s="5"/>
      <c r="BF262" s="5"/>
    </row>
    <row r="263" spans="2:58" s="149" customFormat="1" x14ac:dyDescent="0.25">
      <c r="B263" s="135"/>
      <c r="C263" s="111"/>
      <c r="D263" s="111"/>
      <c r="E263" s="136"/>
      <c r="F263" s="43"/>
      <c r="G263" s="5"/>
      <c r="H263" s="219"/>
      <c r="I263" s="232"/>
      <c r="J263" s="233"/>
      <c r="K263" s="222"/>
      <c r="L263" s="223"/>
      <c r="M263" s="22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32"/>
      <c r="AX263" s="32"/>
      <c r="AY263" s="32"/>
      <c r="AZ263" s="5"/>
      <c r="BA263" s="5"/>
      <c r="BB263" s="5"/>
      <c r="BC263" s="5"/>
      <c r="BD263" s="5"/>
      <c r="BE263" s="5"/>
      <c r="BF263" s="5"/>
    </row>
    <row r="264" spans="2:58" s="149" customFormat="1" x14ac:dyDescent="0.25">
      <c r="B264" s="135"/>
      <c r="C264" s="111"/>
      <c r="D264" s="111"/>
      <c r="E264" s="136"/>
      <c r="F264" s="43"/>
      <c r="G264" s="5"/>
      <c r="H264" s="219"/>
      <c r="I264" s="232"/>
      <c r="J264" s="233"/>
      <c r="K264" s="222"/>
      <c r="L264" s="223"/>
      <c r="M264" s="22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32"/>
      <c r="AX264" s="32"/>
      <c r="AY264" s="32"/>
      <c r="AZ264" s="5"/>
      <c r="BA264" s="5"/>
      <c r="BB264" s="5"/>
      <c r="BC264" s="5"/>
      <c r="BD264" s="5"/>
      <c r="BE264" s="5"/>
      <c r="BF264" s="5"/>
    </row>
    <row r="265" spans="2:58" s="149" customFormat="1" x14ac:dyDescent="0.25">
      <c r="B265" s="135"/>
      <c r="C265" s="111"/>
      <c r="D265" s="111"/>
      <c r="E265" s="136"/>
      <c r="F265" s="43"/>
      <c r="G265" s="5"/>
      <c r="H265" s="219"/>
      <c r="I265" s="232"/>
      <c r="J265" s="233"/>
      <c r="K265" s="222"/>
      <c r="L265" s="223"/>
      <c r="M265" s="22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32"/>
      <c r="AX265" s="32"/>
      <c r="AY265" s="32"/>
      <c r="AZ265" s="5"/>
      <c r="BA265" s="5"/>
      <c r="BB265" s="5"/>
      <c r="BC265" s="5"/>
      <c r="BD265" s="5"/>
      <c r="BE265" s="5"/>
      <c r="BF265" s="5"/>
    </row>
    <row r="266" spans="2:58" s="149" customFormat="1" x14ac:dyDescent="0.25">
      <c r="B266" s="135"/>
      <c r="C266" s="111"/>
      <c r="D266" s="111"/>
      <c r="E266" s="136"/>
      <c r="F266" s="43"/>
      <c r="G266" s="5"/>
      <c r="H266" s="219"/>
      <c r="I266" s="232"/>
      <c r="J266" s="233"/>
      <c r="K266" s="222"/>
      <c r="L266" s="223"/>
      <c r="M266" s="22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32"/>
      <c r="AX266" s="32"/>
      <c r="AY266" s="32"/>
      <c r="AZ266" s="5"/>
      <c r="BA266" s="5"/>
      <c r="BB266" s="5"/>
      <c r="BC266" s="5"/>
      <c r="BD266" s="5"/>
      <c r="BE266" s="5"/>
      <c r="BF266" s="5"/>
    </row>
    <row r="267" spans="2:58" s="149" customFormat="1" x14ac:dyDescent="0.25">
      <c r="B267" s="135"/>
      <c r="C267" s="111"/>
      <c r="D267" s="111"/>
      <c r="E267" s="136"/>
      <c r="F267" s="43"/>
      <c r="G267" s="5"/>
      <c r="H267" s="219"/>
      <c r="I267" s="232"/>
      <c r="J267" s="233"/>
      <c r="K267" s="222"/>
      <c r="L267" s="223"/>
      <c r="M267" s="22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32"/>
      <c r="AX267" s="32"/>
      <c r="AY267" s="32"/>
      <c r="AZ267" s="5"/>
      <c r="BA267" s="5"/>
      <c r="BB267" s="5"/>
      <c r="BC267" s="5"/>
      <c r="BD267" s="5"/>
      <c r="BE267" s="5"/>
      <c r="BF267" s="5"/>
    </row>
    <row r="268" spans="2:58" s="149" customFormat="1" x14ac:dyDescent="0.25">
      <c r="B268" s="135"/>
      <c r="C268" s="111"/>
      <c r="D268" s="111"/>
      <c r="E268" s="136"/>
      <c r="F268" s="43"/>
      <c r="G268" s="5"/>
      <c r="H268" s="219"/>
      <c r="I268" s="232"/>
      <c r="J268" s="233"/>
      <c r="K268" s="222"/>
      <c r="L268" s="223"/>
      <c r="M268" s="22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32"/>
      <c r="AX268" s="32"/>
      <c r="AY268" s="32"/>
      <c r="AZ268" s="5"/>
      <c r="BA268" s="5"/>
      <c r="BB268" s="5"/>
      <c r="BC268" s="5"/>
      <c r="BD268" s="5"/>
      <c r="BE268" s="5"/>
      <c r="BF268" s="5"/>
    </row>
    <row r="269" spans="2:58" s="149" customFormat="1" x14ac:dyDescent="0.25">
      <c r="B269" s="135"/>
      <c r="C269" s="111"/>
      <c r="D269" s="111"/>
      <c r="E269" s="136"/>
      <c r="F269" s="43"/>
      <c r="G269" s="5"/>
      <c r="H269" s="219"/>
      <c r="I269" s="232"/>
      <c r="J269" s="233"/>
      <c r="K269" s="222"/>
      <c r="L269" s="223"/>
      <c r="M269" s="22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32"/>
      <c r="AX269" s="32"/>
      <c r="AY269" s="32"/>
      <c r="AZ269" s="5"/>
      <c r="BA269" s="5"/>
      <c r="BB269" s="5"/>
      <c r="BC269" s="5"/>
      <c r="BD269" s="5"/>
      <c r="BE269" s="5"/>
      <c r="BF269" s="5"/>
    </row>
    <row r="270" spans="2:58" s="149" customFormat="1" x14ac:dyDescent="0.25">
      <c r="B270" s="135"/>
      <c r="C270" s="111"/>
      <c r="D270" s="111"/>
      <c r="E270" s="136"/>
      <c r="F270" s="43"/>
      <c r="G270" s="5"/>
      <c r="H270" s="219"/>
      <c r="I270" s="232"/>
      <c r="J270" s="233"/>
      <c r="K270" s="222"/>
      <c r="L270" s="223"/>
      <c r="M270" s="22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32"/>
      <c r="AX270" s="32"/>
      <c r="AY270" s="32"/>
      <c r="AZ270" s="5"/>
      <c r="BA270" s="5"/>
      <c r="BB270" s="5"/>
      <c r="BC270" s="5"/>
      <c r="BD270" s="5"/>
      <c r="BE270" s="5"/>
      <c r="BF270" s="5"/>
    </row>
    <row r="271" spans="2:58" s="149" customFormat="1" x14ac:dyDescent="0.25">
      <c r="B271" s="135"/>
      <c r="C271" s="111"/>
      <c r="D271" s="111"/>
      <c r="E271" s="136"/>
      <c r="F271" s="43"/>
      <c r="G271" s="5"/>
      <c r="H271" s="219"/>
      <c r="I271" s="232"/>
      <c r="J271" s="233"/>
      <c r="K271" s="222"/>
      <c r="L271" s="223"/>
      <c r="M271" s="22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32"/>
      <c r="AX271" s="32"/>
      <c r="AY271" s="32"/>
      <c r="AZ271" s="5"/>
      <c r="BA271" s="5"/>
      <c r="BB271" s="5"/>
      <c r="BC271" s="5"/>
      <c r="BD271" s="5"/>
      <c r="BE271" s="5"/>
      <c r="BF271" s="5"/>
    </row>
    <row r="272" spans="2:58" s="149" customFormat="1" x14ac:dyDescent="0.25">
      <c r="B272" s="135"/>
      <c r="C272" s="111"/>
      <c r="D272" s="111"/>
      <c r="E272" s="136"/>
      <c r="F272" s="43"/>
      <c r="G272" s="5"/>
      <c r="H272" s="219"/>
      <c r="I272" s="232"/>
      <c r="J272" s="233"/>
      <c r="K272" s="222"/>
      <c r="L272" s="223"/>
      <c r="M272" s="22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32"/>
      <c r="AX272" s="32"/>
      <c r="AY272" s="32"/>
      <c r="AZ272" s="5"/>
      <c r="BA272" s="5"/>
      <c r="BB272" s="5"/>
      <c r="BC272" s="5"/>
      <c r="BD272" s="5"/>
      <c r="BE272" s="5"/>
      <c r="BF272" s="5"/>
    </row>
    <row r="273" spans="2:58" s="149" customFormat="1" x14ac:dyDescent="0.25">
      <c r="B273" s="135"/>
      <c r="C273" s="111"/>
      <c r="D273" s="111"/>
      <c r="E273" s="136"/>
      <c r="F273" s="43"/>
      <c r="G273" s="5"/>
      <c r="H273" s="219"/>
      <c r="I273" s="232"/>
      <c r="J273" s="233"/>
      <c r="K273" s="222"/>
      <c r="L273" s="223"/>
      <c r="M273" s="22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32"/>
      <c r="AX273" s="32"/>
      <c r="AY273" s="32"/>
      <c r="AZ273" s="5"/>
      <c r="BA273" s="5"/>
      <c r="BB273" s="5"/>
      <c r="BC273" s="5"/>
      <c r="BD273" s="5"/>
      <c r="BE273" s="5"/>
      <c r="BF273" s="5"/>
    </row>
    <row r="274" spans="2:58" s="149" customFormat="1" x14ac:dyDescent="0.25">
      <c r="B274" s="135"/>
      <c r="C274" s="111"/>
      <c r="D274" s="111"/>
      <c r="E274" s="136"/>
      <c r="F274" s="43"/>
      <c r="G274" s="5"/>
      <c r="H274" s="219"/>
      <c r="I274" s="232"/>
      <c r="J274" s="233"/>
      <c r="K274" s="222"/>
      <c r="L274" s="223"/>
      <c r="M274" s="22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32"/>
      <c r="AX274" s="32"/>
      <c r="AY274" s="32"/>
      <c r="AZ274" s="5"/>
      <c r="BA274" s="5"/>
      <c r="BB274" s="5"/>
      <c r="BC274" s="5"/>
      <c r="BD274" s="5"/>
      <c r="BE274" s="5"/>
      <c r="BF274" s="5"/>
    </row>
    <row r="275" spans="2:58" s="149" customFormat="1" x14ac:dyDescent="0.25">
      <c r="B275" s="135"/>
      <c r="C275" s="111"/>
      <c r="D275" s="111"/>
      <c r="E275" s="136"/>
      <c r="F275" s="43"/>
      <c r="G275" s="5"/>
      <c r="H275" s="219"/>
      <c r="I275" s="232"/>
      <c r="J275" s="233"/>
      <c r="K275" s="222"/>
      <c r="L275" s="223"/>
      <c r="M275" s="22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32"/>
      <c r="AX275" s="32"/>
      <c r="AY275" s="32"/>
      <c r="AZ275" s="5"/>
      <c r="BA275" s="5"/>
      <c r="BB275" s="5"/>
      <c r="BC275" s="5"/>
      <c r="BD275" s="5"/>
      <c r="BE275" s="5"/>
      <c r="BF275" s="5"/>
    </row>
    <row r="276" spans="2:58" s="149" customFormat="1" x14ac:dyDescent="0.25">
      <c r="B276" s="135"/>
      <c r="C276" s="111"/>
      <c r="D276" s="111"/>
      <c r="E276" s="136"/>
      <c r="F276" s="43"/>
      <c r="G276" s="5"/>
      <c r="H276" s="219"/>
      <c r="I276" s="232"/>
      <c r="J276" s="233"/>
      <c r="K276" s="222"/>
      <c r="L276" s="223"/>
      <c r="M276" s="22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32"/>
      <c r="AX276" s="32"/>
      <c r="AY276" s="32"/>
      <c r="AZ276" s="5"/>
      <c r="BA276" s="5"/>
      <c r="BB276" s="5"/>
      <c r="BC276" s="5"/>
      <c r="BD276" s="5"/>
      <c r="BE276" s="5"/>
      <c r="BF276" s="5"/>
    </row>
    <row r="277" spans="2:58" s="149" customFormat="1" x14ac:dyDescent="0.25">
      <c r="B277" s="135"/>
      <c r="C277" s="111"/>
      <c r="D277" s="111"/>
      <c r="E277" s="136"/>
      <c r="F277" s="43"/>
      <c r="G277" s="5"/>
      <c r="H277" s="219"/>
      <c r="I277" s="232"/>
      <c r="J277" s="233"/>
      <c r="K277" s="222"/>
      <c r="L277" s="223"/>
      <c r="M277" s="22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32"/>
      <c r="AX277" s="32"/>
      <c r="AY277" s="32"/>
      <c r="AZ277" s="5"/>
      <c r="BA277" s="5"/>
      <c r="BB277" s="5"/>
      <c r="BC277" s="5"/>
      <c r="BD277" s="5"/>
      <c r="BE277" s="5"/>
      <c r="BF277" s="5"/>
    </row>
    <row r="278" spans="2:58" s="149" customFormat="1" x14ac:dyDescent="0.25">
      <c r="B278" s="135"/>
      <c r="C278" s="111"/>
      <c r="D278" s="111"/>
      <c r="E278" s="136"/>
      <c r="F278" s="43"/>
      <c r="G278" s="5"/>
      <c r="H278" s="219"/>
      <c r="I278" s="232"/>
      <c r="J278" s="233"/>
      <c r="K278" s="222"/>
      <c r="L278" s="223"/>
      <c r="M278" s="22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32"/>
      <c r="AX278" s="32"/>
      <c r="AY278" s="32"/>
      <c r="AZ278" s="5"/>
      <c r="BA278" s="5"/>
      <c r="BB278" s="5"/>
      <c r="BC278" s="5"/>
      <c r="BD278" s="5"/>
      <c r="BE278" s="5"/>
      <c r="BF278" s="5"/>
    </row>
    <row r="279" spans="2:58" s="149" customFormat="1" x14ac:dyDescent="0.25">
      <c r="B279" s="135"/>
      <c r="C279" s="111"/>
      <c r="D279" s="111"/>
      <c r="E279" s="136"/>
      <c r="F279" s="43"/>
      <c r="G279" s="5"/>
      <c r="H279" s="219"/>
      <c r="I279" s="232"/>
      <c r="J279" s="233"/>
      <c r="K279" s="222"/>
      <c r="L279" s="223"/>
      <c r="M279" s="22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32"/>
      <c r="AX279" s="32"/>
      <c r="AY279" s="32"/>
      <c r="AZ279" s="5"/>
      <c r="BA279" s="5"/>
      <c r="BB279" s="5"/>
      <c r="BC279" s="5"/>
      <c r="BD279" s="5"/>
      <c r="BE279" s="5"/>
      <c r="BF279" s="5"/>
    </row>
    <row r="280" spans="2:58" s="149" customFormat="1" x14ac:dyDescent="0.25">
      <c r="B280" s="135"/>
      <c r="C280" s="111"/>
      <c r="D280" s="111"/>
      <c r="E280" s="136"/>
      <c r="F280" s="43"/>
      <c r="G280" s="5"/>
      <c r="H280" s="219"/>
      <c r="I280" s="232"/>
      <c r="J280" s="233"/>
      <c r="K280" s="222"/>
      <c r="L280" s="223"/>
      <c r="M280" s="22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32"/>
      <c r="AX280" s="32"/>
      <c r="AY280" s="32"/>
      <c r="AZ280" s="5"/>
      <c r="BA280" s="5"/>
      <c r="BB280" s="5"/>
      <c r="BC280" s="5"/>
      <c r="BD280" s="5"/>
      <c r="BE280" s="5"/>
      <c r="BF280" s="5"/>
    </row>
    <row r="281" spans="2:58" s="149" customFormat="1" x14ac:dyDescent="0.25">
      <c r="B281" s="135"/>
      <c r="C281" s="111"/>
      <c r="D281" s="111"/>
      <c r="E281" s="136"/>
      <c r="F281" s="43"/>
      <c r="G281" s="5"/>
      <c r="H281" s="219"/>
      <c r="I281" s="232"/>
      <c r="J281" s="233"/>
      <c r="K281" s="222"/>
      <c r="L281" s="223"/>
      <c r="M281" s="22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32"/>
      <c r="AX281" s="32"/>
      <c r="AY281" s="32"/>
      <c r="AZ281" s="5"/>
      <c r="BA281" s="5"/>
      <c r="BB281" s="5"/>
      <c r="BC281" s="5"/>
      <c r="BD281" s="5"/>
      <c r="BE281" s="5"/>
      <c r="BF281" s="5"/>
    </row>
    <row r="282" spans="2:58" s="149" customFormat="1" x14ac:dyDescent="0.25">
      <c r="B282" s="135"/>
      <c r="C282" s="111"/>
      <c r="D282" s="111"/>
      <c r="E282" s="136"/>
      <c r="F282" s="43"/>
      <c r="G282" s="5"/>
      <c r="H282" s="219"/>
      <c r="I282" s="232"/>
      <c r="J282" s="233"/>
      <c r="K282" s="222"/>
      <c r="L282" s="223"/>
      <c r="M282" s="22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32"/>
      <c r="AX282" s="32"/>
      <c r="AY282" s="32"/>
      <c r="AZ282" s="5"/>
      <c r="BA282" s="5"/>
      <c r="BB282" s="5"/>
      <c r="BC282" s="5"/>
      <c r="BD282" s="5"/>
      <c r="BE282" s="5"/>
      <c r="BF282" s="5"/>
    </row>
    <row r="283" spans="2:58" s="149" customFormat="1" x14ac:dyDescent="0.25">
      <c r="B283" s="135"/>
      <c r="C283" s="111"/>
      <c r="D283" s="111"/>
      <c r="E283" s="136"/>
      <c r="F283" s="43"/>
      <c r="G283" s="5"/>
      <c r="H283" s="219"/>
      <c r="I283" s="232"/>
      <c r="J283" s="233"/>
      <c r="K283" s="222"/>
      <c r="L283" s="223"/>
      <c r="M283" s="22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32"/>
      <c r="AX283" s="32"/>
      <c r="AY283" s="32"/>
      <c r="AZ283" s="5"/>
      <c r="BA283" s="5"/>
      <c r="BB283" s="5"/>
      <c r="BC283" s="5"/>
      <c r="BD283" s="5"/>
      <c r="BE283" s="5"/>
      <c r="BF283" s="5"/>
    </row>
    <row r="284" spans="2:58" s="149" customFormat="1" x14ac:dyDescent="0.25">
      <c r="B284" s="135"/>
      <c r="C284" s="111"/>
      <c r="D284" s="111"/>
      <c r="E284" s="136"/>
      <c r="F284" s="43"/>
      <c r="G284" s="5"/>
      <c r="H284" s="219"/>
      <c r="I284" s="232"/>
      <c r="J284" s="233"/>
      <c r="K284" s="222"/>
      <c r="L284" s="223"/>
      <c r="M284" s="22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32"/>
      <c r="AX284" s="32"/>
      <c r="AY284" s="32"/>
      <c r="AZ284" s="5"/>
      <c r="BA284" s="5"/>
      <c r="BB284" s="5"/>
      <c r="BC284" s="5"/>
      <c r="BD284" s="5"/>
      <c r="BE284" s="5"/>
      <c r="BF284" s="5"/>
    </row>
    <row r="285" spans="2:58" s="149" customFormat="1" x14ac:dyDescent="0.25">
      <c r="B285" s="135"/>
      <c r="C285" s="111"/>
      <c r="D285" s="111"/>
      <c r="E285" s="136"/>
      <c r="F285" s="43"/>
      <c r="G285" s="5"/>
      <c r="H285" s="219"/>
      <c r="I285" s="232"/>
      <c r="J285" s="233"/>
      <c r="K285" s="222"/>
      <c r="L285" s="223"/>
      <c r="M285" s="22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32"/>
      <c r="AX285" s="32"/>
      <c r="AY285" s="32"/>
      <c r="AZ285" s="5"/>
      <c r="BA285" s="5"/>
      <c r="BB285" s="5"/>
      <c r="BC285" s="5"/>
      <c r="BD285" s="5"/>
      <c r="BE285" s="5"/>
      <c r="BF285" s="5"/>
    </row>
    <row r="286" spans="2:58" s="149" customFormat="1" x14ac:dyDescent="0.25">
      <c r="B286" s="135"/>
      <c r="C286" s="111"/>
      <c r="D286" s="111"/>
      <c r="E286" s="136"/>
      <c r="F286" s="43"/>
      <c r="G286" s="5"/>
      <c r="H286" s="219"/>
      <c r="I286" s="232"/>
      <c r="J286" s="233"/>
      <c r="K286" s="222"/>
      <c r="L286" s="223"/>
      <c r="M286" s="22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32"/>
      <c r="AX286" s="32"/>
      <c r="AY286" s="32"/>
      <c r="AZ286" s="5"/>
      <c r="BA286" s="5"/>
      <c r="BB286" s="5"/>
      <c r="BC286" s="5"/>
      <c r="BD286" s="5"/>
      <c r="BE286" s="5"/>
      <c r="BF286" s="5"/>
    </row>
    <row r="287" spans="2:58" s="149" customFormat="1" x14ac:dyDescent="0.25">
      <c r="B287" s="135"/>
      <c r="C287" s="111"/>
      <c r="D287" s="111"/>
      <c r="E287" s="136"/>
      <c r="F287" s="43"/>
      <c r="G287" s="5"/>
      <c r="H287" s="219"/>
      <c r="I287" s="232"/>
      <c r="J287" s="233"/>
      <c r="K287" s="222"/>
      <c r="L287" s="223"/>
      <c r="M287" s="22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32"/>
      <c r="AX287" s="32"/>
      <c r="AY287" s="32"/>
      <c r="AZ287" s="5"/>
      <c r="BA287" s="5"/>
      <c r="BB287" s="5"/>
      <c r="BC287" s="5"/>
      <c r="BD287" s="5"/>
      <c r="BE287" s="5"/>
      <c r="BF287" s="5"/>
    </row>
    <row r="288" spans="2:58" s="149" customFormat="1" x14ac:dyDescent="0.25">
      <c r="B288" s="135"/>
      <c r="C288" s="111"/>
      <c r="D288" s="111"/>
      <c r="E288" s="136"/>
      <c r="F288" s="43"/>
      <c r="G288" s="5"/>
      <c r="H288" s="219"/>
      <c r="I288" s="232"/>
      <c r="J288" s="233"/>
      <c r="K288" s="222"/>
      <c r="L288" s="223"/>
      <c r="M288" s="22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32"/>
      <c r="AX288" s="32"/>
      <c r="AY288" s="32"/>
      <c r="AZ288" s="5"/>
      <c r="BA288" s="5"/>
      <c r="BB288" s="5"/>
      <c r="BC288" s="5"/>
      <c r="BD288" s="5"/>
      <c r="BE288" s="5"/>
      <c r="BF288" s="5"/>
    </row>
    <row r="289" spans="2:58" s="149" customFormat="1" x14ac:dyDescent="0.25">
      <c r="B289" s="135"/>
      <c r="C289" s="111"/>
      <c r="D289" s="111"/>
      <c r="E289" s="136"/>
      <c r="F289" s="43"/>
      <c r="G289" s="5"/>
      <c r="H289" s="219"/>
      <c r="I289" s="232"/>
      <c r="J289" s="233"/>
      <c r="K289" s="222"/>
      <c r="L289" s="223"/>
      <c r="M289" s="22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32"/>
      <c r="AX289" s="32"/>
      <c r="AY289" s="32"/>
      <c r="AZ289" s="5"/>
      <c r="BA289" s="5"/>
      <c r="BB289" s="5"/>
      <c r="BC289" s="5"/>
      <c r="BD289" s="5"/>
      <c r="BE289" s="5"/>
      <c r="BF289" s="5"/>
    </row>
    <row r="290" spans="2:58" s="149" customFormat="1" x14ac:dyDescent="0.25">
      <c r="B290" s="135"/>
      <c r="C290" s="111"/>
      <c r="D290" s="111"/>
      <c r="E290" s="136"/>
      <c r="F290" s="43"/>
      <c r="G290" s="5"/>
      <c r="H290" s="219"/>
      <c r="I290" s="232"/>
      <c r="J290" s="233"/>
      <c r="K290" s="222"/>
      <c r="L290" s="223"/>
      <c r="M290" s="22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32"/>
      <c r="AX290" s="32"/>
      <c r="AY290" s="32"/>
      <c r="AZ290" s="5"/>
      <c r="BA290" s="5"/>
      <c r="BB290" s="5"/>
      <c r="BC290" s="5"/>
      <c r="BD290" s="5"/>
      <c r="BE290" s="5"/>
      <c r="BF290" s="5"/>
    </row>
    <row r="291" spans="2:58" s="149" customFormat="1" x14ac:dyDescent="0.25">
      <c r="B291" s="135"/>
      <c r="C291" s="111"/>
      <c r="D291" s="111"/>
      <c r="E291" s="136"/>
      <c r="F291" s="43"/>
      <c r="G291" s="5"/>
      <c r="H291" s="219"/>
      <c r="I291" s="232"/>
      <c r="J291" s="233"/>
      <c r="K291" s="222"/>
      <c r="L291" s="223"/>
      <c r="M291" s="22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32"/>
      <c r="AX291" s="32"/>
      <c r="AY291" s="32"/>
      <c r="AZ291" s="5"/>
      <c r="BA291" s="5"/>
      <c r="BB291" s="5"/>
      <c r="BC291" s="5"/>
      <c r="BD291" s="5"/>
      <c r="BE291" s="5"/>
      <c r="BF291" s="5"/>
    </row>
    <row r="292" spans="2:58" s="149" customFormat="1" x14ac:dyDescent="0.25">
      <c r="B292" s="135"/>
      <c r="C292" s="111"/>
      <c r="D292" s="111"/>
      <c r="E292" s="136"/>
      <c r="F292" s="43"/>
      <c r="G292" s="5"/>
      <c r="H292" s="219"/>
      <c r="I292" s="232"/>
      <c r="J292" s="233"/>
      <c r="K292" s="222"/>
      <c r="L292" s="223"/>
      <c r="M292" s="22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32"/>
      <c r="AX292" s="32"/>
      <c r="AY292" s="32"/>
      <c r="AZ292" s="5"/>
      <c r="BA292" s="5"/>
      <c r="BB292" s="5"/>
      <c r="BC292" s="5"/>
      <c r="BD292" s="5"/>
      <c r="BE292" s="5"/>
      <c r="BF292" s="5"/>
    </row>
    <row r="293" spans="2:58" s="149" customFormat="1" x14ac:dyDescent="0.25">
      <c r="B293" s="135"/>
      <c r="C293" s="111"/>
      <c r="D293" s="111"/>
      <c r="E293" s="136"/>
      <c r="F293" s="43"/>
      <c r="G293" s="5"/>
      <c r="H293" s="219"/>
      <c r="I293" s="232"/>
      <c r="J293" s="233"/>
      <c r="K293" s="222"/>
      <c r="L293" s="223"/>
      <c r="M293" s="22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32"/>
      <c r="AX293" s="32"/>
      <c r="AY293" s="32"/>
      <c r="AZ293" s="5"/>
      <c r="BA293" s="5"/>
      <c r="BB293" s="5"/>
      <c r="BC293" s="5"/>
      <c r="BD293" s="5"/>
      <c r="BE293" s="5"/>
      <c r="BF293" s="5"/>
    </row>
    <row r="294" spans="2:58" s="149" customFormat="1" x14ac:dyDescent="0.25">
      <c r="B294" s="135"/>
      <c r="C294" s="111"/>
      <c r="D294" s="111"/>
      <c r="E294" s="136"/>
      <c r="F294" s="43"/>
      <c r="G294" s="5"/>
      <c r="H294" s="219"/>
      <c r="I294" s="232"/>
      <c r="J294" s="233"/>
      <c r="K294" s="222"/>
      <c r="L294" s="223"/>
      <c r="M294" s="22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32"/>
      <c r="AX294" s="32"/>
      <c r="AY294" s="32"/>
      <c r="AZ294" s="5"/>
      <c r="BA294" s="5"/>
      <c r="BB294" s="5"/>
      <c r="BC294" s="5"/>
      <c r="BD294" s="5"/>
      <c r="BE294" s="5"/>
      <c r="BF294" s="5"/>
    </row>
    <row r="295" spans="2:58" s="149" customFormat="1" x14ac:dyDescent="0.25">
      <c r="B295" s="135"/>
      <c r="C295" s="111"/>
      <c r="D295" s="111"/>
      <c r="E295" s="136"/>
      <c r="F295" s="43"/>
      <c r="G295" s="5"/>
      <c r="H295" s="219"/>
      <c r="I295" s="232"/>
      <c r="J295" s="233"/>
      <c r="K295" s="222"/>
      <c r="L295" s="223"/>
      <c r="M295" s="22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32"/>
      <c r="AX295" s="32"/>
      <c r="AY295" s="32"/>
      <c r="AZ295" s="5"/>
      <c r="BA295" s="5"/>
      <c r="BB295" s="5"/>
      <c r="BC295" s="5"/>
      <c r="BD295" s="5"/>
      <c r="BE295" s="5"/>
      <c r="BF295" s="5"/>
    </row>
    <row r="296" spans="2:58" s="149" customFormat="1" x14ac:dyDescent="0.25">
      <c r="B296" s="135"/>
      <c r="C296" s="111"/>
      <c r="D296" s="111"/>
      <c r="E296" s="136"/>
      <c r="F296" s="43"/>
      <c r="G296" s="5"/>
      <c r="H296" s="219"/>
      <c r="I296" s="232"/>
      <c r="J296" s="233"/>
      <c r="K296" s="222"/>
      <c r="L296" s="223"/>
      <c r="M296" s="22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32"/>
      <c r="AX296" s="32"/>
      <c r="AY296" s="32"/>
      <c r="AZ296" s="5"/>
      <c r="BA296" s="5"/>
      <c r="BB296" s="5"/>
      <c r="BC296" s="5"/>
      <c r="BD296" s="5"/>
      <c r="BE296" s="5"/>
      <c r="BF296" s="5"/>
    </row>
    <row r="297" spans="2:58" s="149" customFormat="1" x14ac:dyDescent="0.25">
      <c r="B297" s="135"/>
      <c r="C297" s="111"/>
      <c r="D297" s="111"/>
      <c r="E297" s="136"/>
      <c r="F297" s="43"/>
      <c r="G297" s="5"/>
      <c r="H297" s="219"/>
      <c r="I297" s="232"/>
      <c r="J297" s="233"/>
      <c r="K297" s="222"/>
      <c r="L297" s="223"/>
      <c r="M297" s="22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32"/>
      <c r="AX297" s="32"/>
      <c r="AY297" s="32"/>
      <c r="AZ297" s="5"/>
      <c r="BA297" s="5"/>
      <c r="BB297" s="5"/>
      <c r="BC297" s="5"/>
      <c r="BD297" s="5"/>
      <c r="BE297" s="5"/>
      <c r="BF297" s="5"/>
    </row>
    <row r="298" spans="2:58" s="149" customFormat="1" x14ac:dyDescent="0.25">
      <c r="B298" s="135"/>
      <c r="C298" s="111"/>
      <c r="D298" s="111"/>
      <c r="E298" s="136"/>
      <c r="F298" s="43"/>
      <c r="G298" s="5"/>
      <c r="H298" s="219"/>
      <c r="I298" s="232"/>
      <c r="J298" s="233"/>
      <c r="K298" s="222"/>
      <c r="L298" s="223"/>
      <c r="M298" s="22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32"/>
      <c r="AX298" s="32"/>
      <c r="AY298" s="32"/>
      <c r="AZ298" s="5"/>
      <c r="BA298" s="5"/>
      <c r="BB298" s="5"/>
      <c r="BC298" s="5"/>
      <c r="BD298" s="5"/>
      <c r="BE298" s="5"/>
      <c r="BF298" s="5"/>
    </row>
    <row r="299" spans="2:58" s="149" customFormat="1" x14ac:dyDescent="0.25">
      <c r="B299" s="135"/>
      <c r="C299" s="111"/>
      <c r="D299" s="111"/>
      <c r="E299" s="136"/>
      <c r="F299" s="43"/>
      <c r="G299" s="5"/>
      <c r="H299" s="219"/>
      <c r="I299" s="232"/>
      <c r="J299" s="233"/>
      <c r="K299" s="222"/>
      <c r="L299" s="223"/>
      <c r="M299" s="22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  <c r="AV299" s="143"/>
      <c r="AW299" s="32"/>
      <c r="AX299" s="32"/>
      <c r="AY299" s="32"/>
      <c r="AZ299" s="5"/>
      <c r="BA299" s="5"/>
      <c r="BB299" s="5"/>
      <c r="BC299" s="5"/>
      <c r="BD299" s="5"/>
      <c r="BE299" s="5"/>
      <c r="BF299" s="5"/>
    </row>
    <row r="300" spans="2:58" s="149" customFormat="1" x14ac:dyDescent="0.25">
      <c r="B300" s="135"/>
      <c r="C300" s="111"/>
      <c r="D300" s="111"/>
      <c r="E300" s="136"/>
      <c r="F300" s="43"/>
      <c r="G300" s="5"/>
      <c r="H300" s="219"/>
      <c r="I300" s="232"/>
      <c r="J300" s="233"/>
      <c r="K300" s="222"/>
      <c r="L300" s="223"/>
      <c r="M300" s="22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  <c r="AV300" s="143"/>
      <c r="AW300" s="32"/>
      <c r="AX300" s="32"/>
      <c r="AY300" s="32"/>
      <c r="AZ300" s="5"/>
      <c r="BA300" s="5"/>
      <c r="BB300" s="5"/>
      <c r="BC300" s="5"/>
      <c r="BD300" s="5"/>
      <c r="BE300" s="5"/>
      <c r="BF300" s="5"/>
    </row>
    <row r="301" spans="2:58" s="149" customFormat="1" x14ac:dyDescent="0.25">
      <c r="B301" s="135"/>
      <c r="C301" s="111"/>
      <c r="D301" s="111"/>
      <c r="E301" s="136"/>
      <c r="F301" s="43"/>
      <c r="G301" s="5"/>
      <c r="H301" s="219"/>
      <c r="I301" s="232"/>
      <c r="J301" s="233"/>
      <c r="K301" s="222"/>
      <c r="L301" s="223"/>
      <c r="M301" s="22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32"/>
      <c r="AX301" s="32"/>
      <c r="AY301" s="32"/>
      <c r="AZ301" s="5"/>
      <c r="BA301" s="5"/>
      <c r="BB301" s="5"/>
      <c r="BC301" s="5"/>
      <c r="BD301" s="5"/>
      <c r="BE301" s="5"/>
      <c r="BF301" s="5"/>
    </row>
    <row r="302" spans="2:58" s="149" customFormat="1" x14ac:dyDescent="0.25">
      <c r="B302" s="135"/>
      <c r="C302" s="111"/>
      <c r="D302" s="111"/>
      <c r="E302" s="136"/>
      <c r="F302" s="43"/>
      <c r="G302" s="5"/>
      <c r="H302" s="219"/>
      <c r="I302" s="232"/>
      <c r="J302" s="233"/>
      <c r="K302" s="222"/>
      <c r="L302" s="223"/>
      <c r="M302" s="22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32"/>
      <c r="AX302" s="32"/>
      <c r="AY302" s="32"/>
      <c r="AZ302" s="5"/>
      <c r="BA302" s="5"/>
      <c r="BB302" s="5"/>
      <c r="BC302" s="5"/>
      <c r="BD302" s="5"/>
      <c r="BE302" s="5"/>
      <c r="BF302" s="5"/>
    </row>
    <row r="303" spans="2:58" s="149" customFormat="1" x14ac:dyDescent="0.25">
      <c r="B303" s="135"/>
      <c r="C303" s="111"/>
      <c r="D303" s="111"/>
      <c r="E303" s="136"/>
      <c r="F303" s="43"/>
      <c r="G303" s="5"/>
      <c r="H303" s="219"/>
      <c r="I303" s="232"/>
      <c r="J303" s="233"/>
      <c r="K303" s="222"/>
      <c r="L303" s="223"/>
      <c r="M303" s="22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32"/>
      <c r="AX303" s="32"/>
      <c r="AY303" s="32"/>
      <c r="AZ303" s="5"/>
      <c r="BA303" s="5"/>
      <c r="BB303" s="5"/>
      <c r="BC303" s="5"/>
      <c r="BD303" s="5"/>
      <c r="BE303" s="5"/>
      <c r="BF303" s="5"/>
    </row>
    <row r="304" spans="2:58" s="149" customFormat="1" x14ac:dyDescent="0.25">
      <c r="B304" s="135"/>
      <c r="C304" s="111"/>
      <c r="D304" s="111"/>
      <c r="E304" s="136"/>
      <c r="F304" s="43"/>
      <c r="G304" s="5"/>
      <c r="H304" s="219"/>
      <c r="I304" s="232"/>
      <c r="J304" s="233"/>
      <c r="K304" s="222"/>
      <c r="L304" s="223"/>
      <c r="M304" s="22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  <c r="AV304" s="143"/>
      <c r="AW304" s="32"/>
      <c r="AX304" s="32"/>
      <c r="AY304" s="32"/>
      <c r="AZ304" s="5"/>
      <c r="BA304" s="5"/>
      <c r="BB304" s="5"/>
      <c r="BC304" s="5"/>
      <c r="BD304" s="5"/>
      <c r="BE304" s="5"/>
      <c r="BF304" s="5"/>
    </row>
    <row r="305" spans="2:58" s="149" customFormat="1" x14ac:dyDescent="0.25">
      <c r="B305" s="135"/>
      <c r="C305" s="111"/>
      <c r="D305" s="111"/>
      <c r="E305" s="136"/>
      <c r="F305" s="43"/>
      <c r="G305" s="5"/>
      <c r="H305" s="219"/>
      <c r="I305" s="232"/>
      <c r="J305" s="233"/>
      <c r="K305" s="222"/>
      <c r="L305" s="223"/>
      <c r="M305" s="22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32"/>
      <c r="AX305" s="32"/>
      <c r="AY305" s="32"/>
      <c r="AZ305" s="5"/>
      <c r="BA305" s="5"/>
      <c r="BB305" s="5"/>
      <c r="BC305" s="5"/>
      <c r="BD305" s="5"/>
      <c r="BE305" s="5"/>
      <c r="BF305" s="5"/>
    </row>
    <row r="306" spans="2:58" s="149" customFormat="1" x14ac:dyDescent="0.25">
      <c r="B306" s="135"/>
      <c r="C306" s="111"/>
      <c r="D306" s="111"/>
      <c r="E306" s="136"/>
      <c r="F306" s="43"/>
      <c r="G306" s="5"/>
      <c r="H306" s="219"/>
      <c r="I306" s="232"/>
      <c r="J306" s="233"/>
      <c r="K306" s="222"/>
      <c r="L306" s="223"/>
      <c r="M306" s="22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  <c r="AV306" s="143"/>
      <c r="AW306" s="32"/>
      <c r="AX306" s="32"/>
      <c r="AY306" s="32"/>
      <c r="AZ306" s="5"/>
      <c r="BA306" s="5"/>
      <c r="BB306" s="5"/>
      <c r="BC306" s="5"/>
      <c r="BD306" s="5"/>
      <c r="BE306" s="5"/>
      <c r="BF306" s="5"/>
    </row>
    <row r="307" spans="2:58" s="149" customFormat="1" x14ac:dyDescent="0.25">
      <c r="B307" s="135"/>
      <c r="C307" s="111"/>
      <c r="D307" s="111"/>
      <c r="E307" s="136"/>
      <c r="F307" s="43"/>
      <c r="G307" s="5"/>
      <c r="H307" s="219"/>
      <c r="I307" s="232"/>
      <c r="J307" s="233"/>
      <c r="K307" s="222"/>
      <c r="L307" s="223"/>
      <c r="M307" s="22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32"/>
      <c r="AX307" s="32"/>
      <c r="AY307" s="32"/>
      <c r="AZ307" s="5"/>
      <c r="BA307" s="5"/>
      <c r="BB307" s="5"/>
      <c r="BC307" s="5"/>
      <c r="BD307" s="5"/>
      <c r="BE307" s="5"/>
      <c r="BF307" s="5"/>
    </row>
    <row r="308" spans="2:58" s="149" customFormat="1" x14ac:dyDescent="0.25">
      <c r="B308" s="135"/>
      <c r="C308" s="111"/>
      <c r="D308" s="111"/>
      <c r="E308" s="136"/>
      <c r="F308" s="43"/>
      <c r="G308" s="5"/>
      <c r="H308" s="219"/>
      <c r="I308" s="232"/>
      <c r="J308" s="233"/>
      <c r="K308" s="222"/>
      <c r="L308" s="223"/>
      <c r="M308" s="22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  <c r="AV308" s="143"/>
      <c r="AW308" s="32"/>
      <c r="AX308" s="32"/>
      <c r="AY308" s="32"/>
      <c r="AZ308" s="5"/>
      <c r="BA308" s="5"/>
      <c r="BB308" s="5"/>
      <c r="BC308" s="5"/>
      <c r="BD308" s="5"/>
      <c r="BE308" s="5"/>
      <c r="BF308" s="5"/>
    </row>
    <row r="309" spans="2:58" s="149" customFormat="1" x14ac:dyDescent="0.25">
      <c r="B309" s="135"/>
      <c r="C309" s="111"/>
      <c r="D309" s="111"/>
      <c r="E309" s="136"/>
      <c r="F309" s="43"/>
      <c r="G309" s="5"/>
      <c r="H309" s="219"/>
      <c r="I309" s="232"/>
      <c r="J309" s="233"/>
      <c r="K309" s="222"/>
      <c r="L309" s="223"/>
      <c r="M309" s="22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32"/>
      <c r="AX309" s="32"/>
      <c r="AY309" s="32"/>
      <c r="AZ309" s="5"/>
      <c r="BA309" s="5"/>
      <c r="BB309" s="5"/>
      <c r="BC309" s="5"/>
      <c r="BD309" s="5"/>
      <c r="BE309" s="5"/>
      <c r="BF309" s="5"/>
    </row>
    <row r="310" spans="2:58" s="149" customFormat="1" x14ac:dyDescent="0.25">
      <c r="B310" s="135"/>
      <c r="C310" s="111"/>
      <c r="D310" s="111"/>
      <c r="E310" s="136"/>
      <c r="F310" s="43"/>
      <c r="G310" s="5"/>
      <c r="H310" s="219"/>
      <c r="I310" s="232"/>
      <c r="J310" s="233"/>
      <c r="K310" s="222"/>
      <c r="L310" s="223"/>
      <c r="M310" s="22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  <c r="AV310" s="143"/>
      <c r="AW310" s="32"/>
      <c r="AX310" s="32"/>
      <c r="AY310" s="32"/>
      <c r="AZ310" s="5"/>
      <c r="BA310" s="5"/>
      <c r="BB310" s="5"/>
      <c r="BC310" s="5"/>
      <c r="BD310" s="5"/>
      <c r="BE310" s="5"/>
      <c r="BF310" s="5"/>
    </row>
    <row r="311" spans="2:58" s="149" customFormat="1" x14ac:dyDescent="0.25">
      <c r="B311" s="135"/>
      <c r="C311" s="111"/>
      <c r="D311" s="111"/>
      <c r="E311" s="136"/>
      <c r="F311" s="43"/>
      <c r="G311" s="5"/>
      <c r="H311" s="219"/>
      <c r="I311" s="232"/>
      <c r="J311" s="233"/>
      <c r="K311" s="222"/>
      <c r="L311" s="223"/>
      <c r="M311" s="22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32"/>
      <c r="AX311" s="32"/>
      <c r="AY311" s="32"/>
      <c r="AZ311" s="5"/>
      <c r="BA311" s="5"/>
      <c r="BB311" s="5"/>
      <c r="BC311" s="5"/>
      <c r="BD311" s="5"/>
      <c r="BE311" s="5"/>
      <c r="BF311" s="5"/>
    </row>
    <row r="312" spans="2:58" s="149" customFormat="1" x14ac:dyDescent="0.25">
      <c r="B312" s="135"/>
      <c r="C312" s="111"/>
      <c r="D312" s="111"/>
      <c r="E312" s="136"/>
      <c r="F312" s="43"/>
      <c r="G312" s="5"/>
      <c r="H312" s="219"/>
      <c r="I312" s="232"/>
      <c r="J312" s="233"/>
      <c r="K312" s="222"/>
      <c r="L312" s="223"/>
      <c r="M312" s="22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32"/>
      <c r="AX312" s="32"/>
      <c r="AY312" s="32"/>
      <c r="AZ312" s="5"/>
      <c r="BA312" s="5"/>
      <c r="BB312" s="5"/>
      <c r="BC312" s="5"/>
      <c r="BD312" s="5"/>
      <c r="BE312" s="5"/>
      <c r="BF312" s="5"/>
    </row>
    <row r="313" spans="2:58" s="149" customFormat="1" x14ac:dyDescent="0.25">
      <c r="B313" s="135"/>
      <c r="C313" s="111"/>
      <c r="D313" s="111"/>
      <c r="E313" s="136"/>
      <c r="F313" s="43"/>
      <c r="G313" s="5"/>
      <c r="H313" s="219"/>
      <c r="I313" s="232"/>
      <c r="J313" s="233"/>
      <c r="K313" s="222"/>
      <c r="L313" s="223"/>
      <c r="M313" s="22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32"/>
      <c r="AX313" s="32"/>
      <c r="AY313" s="32"/>
      <c r="AZ313" s="5"/>
      <c r="BA313" s="5"/>
      <c r="BB313" s="5"/>
      <c r="BC313" s="5"/>
      <c r="BD313" s="5"/>
      <c r="BE313" s="5"/>
      <c r="BF313" s="5"/>
    </row>
    <row r="314" spans="2:58" s="149" customFormat="1" x14ac:dyDescent="0.25">
      <c r="B314" s="135"/>
      <c r="C314" s="111"/>
      <c r="D314" s="111"/>
      <c r="E314" s="136"/>
      <c r="F314" s="43"/>
      <c r="G314" s="5"/>
      <c r="H314" s="219"/>
      <c r="I314" s="232"/>
      <c r="J314" s="233"/>
      <c r="K314" s="222"/>
      <c r="L314" s="223"/>
      <c r="M314" s="22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32"/>
      <c r="AX314" s="32"/>
      <c r="AY314" s="32"/>
      <c r="AZ314" s="5"/>
      <c r="BA314" s="5"/>
      <c r="BB314" s="5"/>
      <c r="BC314" s="5"/>
      <c r="BD314" s="5"/>
      <c r="BE314" s="5"/>
      <c r="BF314" s="5"/>
    </row>
    <row r="315" spans="2:58" s="149" customFormat="1" x14ac:dyDescent="0.25">
      <c r="B315" s="135"/>
      <c r="C315" s="111"/>
      <c r="D315" s="111"/>
      <c r="E315" s="136"/>
      <c r="F315" s="43"/>
      <c r="G315" s="5"/>
      <c r="H315" s="219"/>
      <c r="I315" s="232"/>
      <c r="J315" s="233"/>
      <c r="K315" s="222"/>
      <c r="L315" s="223"/>
      <c r="M315" s="22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32"/>
      <c r="AX315" s="32"/>
      <c r="AY315" s="32"/>
      <c r="AZ315" s="5"/>
      <c r="BA315" s="5"/>
      <c r="BB315" s="5"/>
      <c r="BC315" s="5"/>
      <c r="BD315" s="5"/>
      <c r="BE315" s="5"/>
      <c r="BF315" s="5"/>
    </row>
    <row r="316" spans="2:58" s="149" customFormat="1" x14ac:dyDescent="0.25">
      <c r="B316" s="135"/>
      <c r="C316" s="111"/>
      <c r="D316" s="111"/>
      <c r="E316" s="136"/>
      <c r="F316" s="43"/>
      <c r="G316" s="5"/>
      <c r="H316" s="219"/>
      <c r="I316" s="232"/>
      <c r="J316" s="233"/>
      <c r="K316" s="222"/>
      <c r="L316" s="223"/>
      <c r="M316" s="22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32"/>
      <c r="AX316" s="32"/>
      <c r="AY316" s="32"/>
      <c r="AZ316" s="5"/>
      <c r="BA316" s="5"/>
      <c r="BB316" s="5"/>
      <c r="BC316" s="5"/>
      <c r="BD316" s="5"/>
      <c r="BE316" s="5"/>
      <c r="BF316" s="5"/>
    </row>
    <row r="317" spans="2:58" s="149" customFormat="1" x14ac:dyDescent="0.25">
      <c r="B317" s="135"/>
      <c r="C317" s="111"/>
      <c r="D317" s="111"/>
      <c r="E317" s="136"/>
      <c r="F317" s="43"/>
      <c r="G317" s="5"/>
      <c r="H317" s="219"/>
      <c r="I317" s="232"/>
      <c r="J317" s="233"/>
      <c r="K317" s="222"/>
      <c r="L317" s="223"/>
      <c r="M317" s="22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32"/>
      <c r="AX317" s="32"/>
      <c r="AY317" s="32"/>
      <c r="AZ317" s="5"/>
      <c r="BA317" s="5"/>
      <c r="BB317" s="5"/>
      <c r="BC317" s="5"/>
      <c r="BD317" s="5"/>
      <c r="BE317" s="5"/>
      <c r="BF317" s="5"/>
    </row>
    <row r="318" spans="2:58" s="149" customFormat="1" x14ac:dyDescent="0.25">
      <c r="B318" s="135"/>
      <c r="C318" s="111"/>
      <c r="D318" s="111"/>
      <c r="E318" s="136"/>
      <c r="F318" s="43"/>
      <c r="G318" s="5"/>
      <c r="H318" s="219"/>
      <c r="I318" s="232"/>
      <c r="J318" s="233"/>
      <c r="K318" s="222"/>
      <c r="L318" s="223"/>
      <c r="M318" s="22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32"/>
      <c r="AX318" s="32"/>
      <c r="AY318" s="32"/>
      <c r="AZ318" s="5"/>
      <c r="BA318" s="5"/>
      <c r="BB318" s="5"/>
      <c r="BC318" s="5"/>
      <c r="BD318" s="5"/>
      <c r="BE318" s="5"/>
      <c r="BF318" s="5"/>
    </row>
    <row r="319" spans="2:58" s="149" customFormat="1" x14ac:dyDescent="0.25">
      <c r="B319" s="135"/>
      <c r="C319" s="111"/>
      <c r="D319" s="111"/>
      <c r="E319" s="136"/>
      <c r="F319" s="43"/>
      <c r="G319" s="5"/>
      <c r="H319" s="219"/>
      <c r="I319" s="232"/>
      <c r="J319" s="233"/>
      <c r="K319" s="222"/>
      <c r="L319" s="223"/>
      <c r="M319" s="22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32"/>
      <c r="AX319" s="32"/>
      <c r="AY319" s="32"/>
      <c r="AZ319" s="5"/>
      <c r="BA319" s="5"/>
      <c r="BB319" s="5"/>
      <c r="BC319" s="5"/>
      <c r="BD319" s="5"/>
      <c r="BE319" s="5"/>
      <c r="BF319" s="5"/>
    </row>
    <row r="320" spans="2:58" s="149" customFormat="1" x14ac:dyDescent="0.25">
      <c r="B320" s="135"/>
      <c r="C320" s="111"/>
      <c r="D320" s="111"/>
      <c r="E320" s="136"/>
      <c r="F320" s="43"/>
      <c r="G320" s="5"/>
      <c r="H320" s="219"/>
      <c r="I320" s="232"/>
      <c r="J320" s="233"/>
      <c r="K320" s="222"/>
      <c r="L320" s="223"/>
      <c r="M320" s="22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32"/>
      <c r="AX320" s="32"/>
      <c r="AY320" s="32"/>
      <c r="AZ320" s="5"/>
      <c r="BA320" s="5"/>
      <c r="BB320" s="5"/>
      <c r="BC320" s="5"/>
      <c r="BD320" s="5"/>
      <c r="BE320" s="5"/>
      <c r="BF320" s="5"/>
    </row>
    <row r="321" spans="2:58" s="149" customFormat="1" x14ac:dyDescent="0.25">
      <c r="B321" s="135"/>
      <c r="C321" s="111"/>
      <c r="D321" s="111"/>
      <c r="E321" s="136"/>
      <c r="F321" s="43"/>
      <c r="G321" s="5"/>
      <c r="H321" s="219"/>
      <c r="I321" s="232"/>
      <c r="J321" s="233"/>
      <c r="K321" s="222"/>
      <c r="L321" s="223"/>
      <c r="M321" s="22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  <c r="AV321" s="143"/>
      <c r="AW321" s="32"/>
      <c r="AX321" s="32"/>
      <c r="AY321" s="32"/>
      <c r="AZ321" s="5"/>
      <c r="BA321" s="5"/>
      <c r="BB321" s="5"/>
      <c r="BC321" s="5"/>
      <c r="BD321" s="5"/>
      <c r="BE321" s="5"/>
      <c r="BF321" s="5"/>
    </row>
    <row r="322" spans="2:58" s="149" customFormat="1" x14ac:dyDescent="0.25">
      <c r="B322" s="135"/>
      <c r="C322" s="111"/>
      <c r="D322" s="111"/>
      <c r="E322" s="136"/>
      <c r="F322" s="43"/>
      <c r="G322" s="5"/>
      <c r="H322" s="219"/>
      <c r="I322" s="232"/>
      <c r="J322" s="233"/>
      <c r="K322" s="222"/>
      <c r="L322" s="223"/>
      <c r="M322" s="22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  <c r="AV322" s="143"/>
      <c r="AW322" s="32"/>
      <c r="AX322" s="32"/>
      <c r="AY322" s="32"/>
      <c r="AZ322" s="5"/>
      <c r="BA322" s="5"/>
      <c r="BB322" s="5"/>
      <c r="BC322" s="5"/>
      <c r="BD322" s="5"/>
      <c r="BE322" s="5"/>
      <c r="BF322" s="5"/>
    </row>
    <row r="323" spans="2:58" s="149" customFormat="1" x14ac:dyDescent="0.25">
      <c r="B323" s="135"/>
      <c r="C323" s="111"/>
      <c r="D323" s="111"/>
      <c r="E323" s="136"/>
      <c r="F323" s="43"/>
      <c r="G323" s="5"/>
      <c r="H323" s="219"/>
      <c r="I323" s="232"/>
      <c r="J323" s="233"/>
      <c r="K323" s="222"/>
      <c r="L323" s="223"/>
      <c r="M323" s="22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  <c r="AV323" s="143"/>
      <c r="AW323" s="32"/>
      <c r="AX323" s="32"/>
      <c r="AY323" s="32"/>
      <c r="AZ323" s="5"/>
      <c r="BA323" s="5"/>
      <c r="BB323" s="5"/>
      <c r="BC323" s="5"/>
      <c r="BD323" s="5"/>
      <c r="BE323" s="5"/>
      <c r="BF323" s="5"/>
    </row>
    <row r="324" spans="2:58" s="149" customFormat="1" x14ac:dyDescent="0.25">
      <c r="B324" s="135"/>
      <c r="C324" s="111"/>
      <c r="D324" s="111"/>
      <c r="E324" s="136"/>
      <c r="F324" s="43"/>
      <c r="G324" s="5"/>
      <c r="H324" s="219"/>
      <c r="I324" s="232"/>
      <c r="J324" s="233"/>
      <c r="K324" s="222"/>
      <c r="L324" s="223"/>
      <c r="M324" s="22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  <c r="AV324" s="143"/>
      <c r="AW324" s="32"/>
      <c r="AX324" s="32"/>
      <c r="AY324" s="32"/>
      <c r="AZ324" s="5"/>
      <c r="BA324" s="5"/>
      <c r="BB324" s="5"/>
      <c r="BC324" s="5"/>
      <c r="BD324" s="5"/>
      <c r="BE324" s="5"/>
      <c r="BF324" s="5"/>
    </row>
    <row r="325" spans="2:58" s="149" customFormat="1" x14ac:dyDescent="0.25">
      <c r="B325" s="135"/>
      <c r="C325" s="111"/>
      <c r="D325" s="111"/>
      <c r="E325" s="136"/>
      <c r="F325" s="43"/>
      <c r="G325" s="5"/>
      <c r="H325" s="219"/>
      <c r="I325" s="232"/>
      <c r="J325" s="233"/>
      <c r="K325" s="222"/>
      <c r="L325" s="223"/>
      <c r="M325" s="22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  <c r="AV325" s="143"/>
      <c r="AW325" s="32"/>
      <c r="AX325" s="32"/>
      <c r="AY325" s="32"/>
      <c r="AZ325" s="5"/>
      <c r="BA325" s="5"/>
      <c r="BB325" s="5"/>
      <c r="BC325" s="5"/>
      <c r="BD325" s="5"/>
      <c r="BE325" s="5"/>
      <c r="BF325" s="5"/>
    </row>
    <row r="326" spans="2:58" s="149" customFormat="1" x14ac:dyDescent="0.25">
      <c r="B326" s="135"/>
      <c r="C326" s="111"/>
      <c r="D326" s="111"/>
      <c r="E326" s="136"/>
      <c r="F326" s="43"/>
      <c r="G326" s="5"/>
      <c r="H326" s="219"/>
      <c r="I326" s="232"/>
      <c r="J326" s="233"/>
      <c r="K326" s="222"/>
      <c r="L326" s="223"/>
      <c r="M326" s="22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32"/>
      <c r="AX326" s="32"/>
      <c r="AY326" s="32"/>
      <c r="AZ326" s="5"/>
      <c r="BA326" s="5"/>
      <c r="BB326" s="5"/>
      <c r="BC326" s="5"/>
      <c r="BD326" s="5"/>
      <c r="BE326" s="5"/>
      <c r="BF326" s="5"/>
    </row>
    <row r="327" spans="2:58" s="149" customFormat="1" x14ac:dyDescent="0.25">
      <c r="B327" s="135"/>
      <c r="C327" s="111"/>
      <c r="D327" s="111"/>
      <c r="E327" s="136"/>
      <c r="F327" s="43"/>
      <c r="G327" s="5"/>
      <c r="H327" s="219"/>
      <c r="I327" s="232"/>
      <c r="J327" s="233"/>
      <c r="K327" s="222"/>
      <c r="L327" s="223"/>
      <c r="M327" s="22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32"/>
      <c r="AX327" s="32"/>
      <c r="AY327" s="32"/>
      <c r="AZ327" s="5"/>
      <c r="BA327" s="5"/>
      <c r="BB327" s="5"/>
      <c r="BC327" s="5"/>
      <c r="BD327" s="5"/>
      <c r="BE327" s="5"/>
      <c r="BF327" s="5"/>
    </row>
    <row r="328" spans="2:58" s="149" customFormat="1" x14ac:dyDescent="0.25">
      <c r="B328" s="135"/>
      <c r="C328" s="111"/>
      <c r="D328" s="111"/>
      <c r="E328" s="136"/>
      <c r="F328" s="43"/>
      <c r="G328" s="5"/>
      <c r="H328" s="219"/>
      <c r="I328" s="232"/>
      <c r="J328" s="233"/>
      <c r="K328" s="222"/>
      <c r="L328" s="223"/>
      <c r="M328" s="22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32"/>
      <c r="AX328" s="32"/>
      <c r="AY328" s="32"/>
      <c r="AZ328" s="5"/>
      <c r="BA328" s="5"/>
      <c r="BB328" s="5"/>
      <c r="BC328" s="5"/>
      <c r="BD328" s="5"/>
      <c r="BE328" s="5"/>
      <c r="BF328" s="5"/>
    </row>
    <row r="329" spans="2:58" s="149" customFormat="1" x14ac:dyDescent="0.25">
      <c r="B329" s="135"/>
      <c r="C329" s="111"/>
      <c r="D329" s="111"/>
      <c r="E329" s="136"/>
      <c r="F329" s="43"/>
      <c r="G329" s="5"/>
      <c r="H329" s="219"/>
      <c r="I329" s="232"/>
      <c r="J329" s="233"/>
      <c r="K329" s="222"/>
      <c r="L329" s="223"/>
      <c r="M329" s="22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32"/>
      <c r="AX329" s="32"/>
      <c r="AY329" s="32"/>
      <c r="AZ329" s="5"/>
      <c r="BA329" s="5"/>
      <c r="BB329" s="5"/>
      <c r="BC329" s="5"/>
      <c r="BD329" s="5"/>
      <c r="BE329" s="5"/>
      <c r="BF329" s="5"/>
    </row>
    <row r="330" spans="2:58" s="149" customFormat="1" x14ac:dyDescent="0.25">
      <c r="B330" s="135"/>
      <c r="C330" s="111"/>
      <c r="D330" s="111"/>
      <c r="E330" s="136"/>
      <c r="F330" s="43"/>
      <c r="G330" s="5"/>
      <c r="H330" s="219"/>
      <c r="I330" s="232"/>
      <c r="J330" s="233"/>
      <c r="K330" s="222"/>
      <c r="L330" s="223"/>
      <c r="M330" s="22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32"/>
      <c r="AX330" s="32"/>
      <c r="AY330" s="32"/>
      <c r="AZ330" s="5"/>
      <c r="BA330" s="5"/>
      <c r="BB330" s="5"/>
      <c r="BC330" s="5"/>
      <c r="BD330" s="5"/>
      <c r="BE330" s="5"/>
      <c r="BF330" s="5"/>
    </row>
    <row r="331" spans="2:58" s="149" customFormat="1" x14ac:dyDescent="0.25">
      <c r="B331" s="135"/>
      <c r="C331" s="111"/>
      <c r="D331" s="111"/>
      <c r="E331" s="136"/>
      <c r="F331" s="43"/>
      <c r="G331" s="5"/>
      <c r="H331" s="219"/>
      <c r="I331" s="232"/>
      <c r="J331" s="233"/>
      <c r="K331" s="222"/>
      <c r="L331" s="223"/>
      <c r="M331" s="22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32"/>
      <c r="AX331" s="32"/>
      <c r="AY331" s="32"/>
      <c r="AZ331" s="5"/>
      <c r="BA331" s="5"/>
      <c r="BB331" s="5"/>
      <c r="BC331" s="5"/>
      <c r="BD331" s="5"/>
      <c r="BE331" s="5"/>
      <c r="BF331" s="5"/>
    </row>
    <row r="332" spans="2:58" s="149" customFormat="1" x14ac:dyDescent="0.25">
      <c r="B332" s="135"/>
      <c r="C332" s="111"/>
      <c r="D332" s="111"/>
      <c r="E332" s="136"/>
      <c r="F332" s="43"/>
      <c r="G332" s="5"/>
      <c r="H332" s="219"/>
      <c r="I332" s="232"/>
      <c r="J332" s="233"/>
      <c r="K332" s="222"/>
      <c r="L332" s="223"/>
      <c r="M332" s="22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32"/>
      <c r="AX332" s="32"/>
      <c r="AY332" s="32"/>
      <c r="AZ332" s="5"/>
      <c r="BA332" s="5"/>
      <c r="BB332" s="5"/>
      <c r="BC332" s="5"/>
      <c r="BD332" s="5"/>
      <c r="BE332" s="5"/>
      <c r="BF332" s="5"/>
    </row>
    <row r="333" spans="2:58" s="149" customFormat="1" x14ac:dyDescent="0.25">
      <c r="B333" s="135"/>
      <c r="C333" s="111"/>
      <c r="D333" s="111"/>
      <c r="E333" s="136"/>
      <c r="F333" s="43"/>
      <c r="G333" s="5"/>
      <c r="H333" s="219"/>
      <c r="I333" s="232"/>
      <c r="J333" s="233"/>
      <c r="K333" s="222"/>
      <c r="L333" s="223"/>
      <c r="M333" s="22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32"/>
      <c r="AX333" s="32"/>
      <c r="AY333" s="32"/>
      <c r="AZ333" s="5"/>
      <c r="BA333" s="5"/>
      <c r="BB333" s="5"/>
      <c r="BC333" s="5"/>
      <c r="BD333" s="5"/>
      <c r="BE333" s="5"/>
      <c r="BF333" s="5"/>
    </row>
    <row r="334" spans="2:58" s="149" customFormat="1" x14ac:dyDescent="0.25">
      <c r="B334" s="135"/>
      <c r="C334" s="111"/>
      <c r="D334" s="111"/>
      <c r="E334" s="136"/>
      <c r="F334" s="43"/>
      <c r="G334" s="5"/>
      <c r="H334" s="219"/>
      <c r="I334" s="232"/>
      <c r="J334" s="233"/>
      <c r="K334" s="222"/>
      <c r="L334" s="223"/>
      <c r="M334" s="22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32"/>
      <c r="AX334" s="32"/>
      <c r="AY334" s="32"/>
      <c r="AZ334" s="5"/>
      <c r="BA334" s="5"/>
      <c r="BB334" s="5"/>
      <c r="BC334" s="5"/>
      <c r="BD334" s="5"/>
      <c r="BE334" s="5"/>
      <c r="BF334" s="5"/>
    </row>
    <row r="335" spans="2:58" s="149" customFormat="1" x14ac:dyDescent="0.25">
      <c r="B335" s="135"/>
      <c r="C335" s="111"/>
      <c r="D335" s="111"/>
      <c r="E335" s="136"/>
      <c r="F335" s="43"/>
      <c r="G335" s="5"/>
      <c r="H335" s="219"/>
      <c r="I335" s="232"/>
      <c r="J335" s="233"/>
      <c r="K335" s="222"/>
      <c r="L335" s="223"/>
      <c r="M335" s="22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32"/>
      <c r="AX335" s="32"/>
      <c r="AY335" s="32"/>
      <c r="AZ335" s="5"/>
      <c r="BA335" s="5"/>
      <c r="BB335" s="5"/>
      <c r="BC335" s="5"/>
      <c r="BD335" s="5"/>
      <c r="BE335" s="5"/>
      <c r="BF335" s="5"/>
    </row>
    <row r="336" spans="2:58" s="149" customFormat="1" x14ac:dyDescent="0.25">
      <c r="B336" s="135"/>
      <c r="C336" s="111"/>
      <c r="D336" s="111"/>
      <c r="E336" s="136"/>
      <c r="F336" s="43"/>
      <c r="G336" s="5"/>
      <c r="H336" s="219"/>
      <c r="I336" s="232"/>
      <c r="J336" s="233"/>
      <c r="K336" s="222"/>
      <c r="L336" s="223"/>
      <c r="M336" s="22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32"/>
      <c r="AX336" s="32"/>
      <c r="AY336" s="32"/>
      <c r="AZ336" s="5"/>
      <c r="BA336" s="5"/>
      <c r="BB336" s="5"/>
      <c r="BC336" s="5"/>
      <c r="BD336" s="5"/>
      <c r="BE336" s="5"/>
      <c r="BF336" s="5"/>
    </row>
    <row r="337" spans="2:58" s="149" customFormat="1" x14ac:dyDescent="0.25">
      <c r="B337" s="135"/>
      <c r="C337" s="111"/>
      <c r="D337" s="111"/>
      <c r="E337" s="136"/>
      <c r="F337" s="43"/>
      <c r="G337" s="5"/>
      <c r="H337" s="219"/>
      <c r="I337" s="232"/>
      <c r="J337" s="233"/>
      <c r="K337" s="222"/>
      <c r="L337" s="223"/>
      <c r="M337" s="22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32"/>
      <c r="AX337" s="32"/>
      <c r="AY337" s="32"/>
      <c r="AZ337" s="5"/>
      <c r="BA337" s="5"/>
      <c r="BB337" s="5"/>
      <c r="BC337" s="5"/>
      <c r="BD337" s="5"/>
      <c r="BE337" s="5"/>
      <c r="BF337" s="5"/>
    </row>
    <row r="338" spans="2:58" s="149" customFormat="1" x14ac:dyDescent="0.25">
      <c r="B338" s="135"/>
      <c r="C338" s="111"/>
      <c r="D338" s="111"/>
      <c r="E338" s="136"/>
      <c r="F338" s="43"/>
      <c r="G338" s="5"/>
      <c r="H338" s="219"/>
      <c r="I338" s="232"/>
      <c r="J338" s="233"/>
      <c r="K338" s="222"/>
      <c r="L338" s="223"/>
      <c r="M338" s="22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32"/>
      <c r="AX338" s="32"/>
      <c r="AY338" s="32"/>
      <c r="AZ338" s="5"/>
      <c r="BA338" s="5"/>
      <c r="BB338" s="5"/>
      <c r="BC338" s="5"/>
      <c r="BD338" s="5"/>
      <c r="BE338" s="5"/>
      <c r="BF338" s="5"/>
    </row>
    <row r="339" spans="2:58" s="149" customFormat="1" x14ac:dyDescent="0.25">
      <c r="B339" s="135"/>
      <c r="C339" s="111"/>
      <c r="D339" s="111"/>
      <c r="E339" s="136"/>
      <c r="F339" s="43"/>
      <c r="G339" s="5"/>
      <c r="H339" s="219"/>
      <c r="I339" s="232"/>
      <c r="J339" s="233"/>
      <c r="K339" s="222"/>
      <c r="L339" s="223"/>
      <c r="M339" s="22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32"/>
      <c r="AX339" s="32"/>
      <c r="AY339" s="32"/>
      <c r="AZ339" s="5"/>
      <c r="BA339" s="5"/>
      <c r="BB339" s="5"/>
      <c r="BC339" s="5"/>
      <c r="BD339" s="5"/>
      <c r="BE339" s="5"/>
      <c r="BF339" s="5"/>
    </row>
    <row r="340" spans="2:58" s="149" customFormat="1" x14ac:dyDescent="0.25">
      <c r="B340" s="135"/>
      <c r="C340" s="111"/>
      <c r="D340" s="111"/>
      <c r="E340" s="136"/>
      <c r="F340" s="43"/>
      <c r="G340" s="5"/>
      <c r="H340" s="219"/>
      <c r="I340" s="232"/>
      <c r="J340" s="233"/>
      <c r="K340" s="222"/>
      <c r="L340" s="223"/>
      <c r="M340" s="22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32"/>
      <c r="AX340" s="32"/>
      <c r="AY340" s="32"/>
      <c r="AZ340" s="5"/>
      <c r="BA340" s="5"/>
      <c r="BB340" s="5"/>
      <c r="BC340" s="5"/>
      <c r="BD340" s="5"/>
      <c r="BE340" s="5"/>
      <c r="BF340" s="5"/>
    </row>
    <row r="341" spans="2:58" s="149" customFormat="1" x14ac:dyDescent="0.25">
      <c r="B341" s="135"/>
      <c r="C341" s="111"/>
      <c r="D341" s="111"/>
      <c r="E341" s="136"/>
      <c r="F341" s="43"/>
      <c r="G341" s="5"/>
      <c r="H341" s="219"/>
      <c r="I341" s="232"/>
      <c r="J341" s="233"/>
      <c r="K341" s="222"/>
      <c r="L341" s="223"/>
      <c r="M341" s="22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32"/>
      <c r="AX341" s="32"/>
      <c r="AY341" s="32"/>
      <c r="AZ341" s="5"/>
      <c r="BA341" s="5"/>
      <c r="BB341" s="5"/>
      <c r="BC341" s="5"/>
      <c r="BD341" s="5"/>
      <c r="BE341" s="5"/>
      <c r="BF341" s="5"/>
    </row>
    <row r="342" spans="2:58" s="149" customFormat="1" x14ac:dyDescent="0.25">
      <c r="B342" s="135"/>
      <c r="C342" s="111"/>
      <c r="D342" s="111"/>
      <c r="E342" s="136"/>
      <c r="F342" s="43"/>
      <c r="G342" s="5"/>
      <c r="H342" s="219"/>
      <c r="I342" s="232"/>
      <c r="J342" s="233"/>
      <c r="K342" s="222"/>
      <c r="L342" s="223"/>
      <c r="M342" s="22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32"/>
      <c r="AX342" s="32"/>
      <c r="AY342" s="32"/>
      <c r="AZ342" s="5"/>
      <c r="BA342" s="5"/>
      <c r="BB342" s="5"/>
      <c r="BC342" s="5"/>
      <c r="BD342" s="5"/>
      <c r="BE342" s="5"/>
      <c r="BF342" s="5"/>
    </row>
    <row r="343" spans="2:58" s="149" customFormat="1" x14ac:dyDescent="0.25">
      <c r="B343" s="135"/>
      <c r="C343" s="111"/>
      <c r="D343" s="111"/>
      <c r="E343" s="136"/>
      <c r="F343" s="43"/>
      <c r="G343" s="5"/>
      <c r="H343" s="219"/>
      <c r="I343" s="232"/>
      <c r="J343" s="233"/>
      <c r="K343" s="222"/>
      <c r="L343" s="223"/>
      <c r="M343" s="22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32"/>
      <c r="AX343" s="32"/>
      <c r="AY343" s="32"/>
      <c r="AZ343" s="5"/>
      <c r="BA343" s="5"/>
      <c r="BB343" s="5"/>
      <c r="BC343" s="5"/>
      <c r="BD343" s="5"/>
      <c r="BE343" s="5"/>
      <c r="BF343" s="5"/>
    </row>
    <row r="344" spans="2:58" s="149" customFormat="1" x14ac:dyDescent="0.25">
      <c r="B344" s="135"/>
      <c r="C344" s="111"/>
      <c r="D344" s="111"/>
      <c r="E344" s="136"/>
      <c r="F344" s="43"/>
      <c r="G344" s="5"/>
      <c r="H344" s="219"/>
      <c r="I344" s="232"/>
      <c r="J344" s="233"/>
      <c r="K344" s="222"/>
      <c r="L344" s="223"/>
      <c r="M344" s="22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32"/>
      <c r="AX344" s="32"/>
      <c r="AY344" s="32"/>
      <c r="AZ344" s="5"/>
      <c r="BA344" s="5"/>
      <c r="BB344" s="5"/>
      <c r="BC344" s="5"/>
      <c r="BD344" s="5"/>
      <c r="BE344" s="5"/>
      <c r="BF344" s="5"/>
    </row>
    <row r="345" spans="2:58" s="149" customFormat="1" x14ac:dyDescent="0.25">
      <c r="B345" s="135"/>
      <c r="C345" s="111"/>
      <c r="D345" s="111"/>
      <c r="E345" s="136"/>
      <c r="F345" s="43"/>
      <c r="G345" s="5"/>
      <c r="H345" s="219"/>
      <c r="I345" s="232"/>
      <c r="J345" s="233"/>
      <c r="K345" s="222"/>
      <c r="L345" s="223"/>
      <c r="M345" s="22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32"/>
      <c r="AX345" s="32"/>
      <c r="AY345" s="32"/>
      <c r="AZ345" s="5"/>
      <c r="BA345" s="5"/>
      <c r="BB345" s="5"/>
      <c r="BC345" s="5"/>
      <c r="BD345" s="5"/>
      <c r="BE345" s="5"/>
      <c r="BF345" s="5"/>
    </row>
    <row r="346" spans="2:58" s="149" customFormat="1" x14ac:dyDescent="0.25">
      <c r="B346" s="135"/>
      <c r="C346" s="111"/>
      <c r="D346" s="111"/>
      <c r="E346" s="136"/>
      <c r="F346" s="43"/>
      <c r="G346" s="5"/>
      <c r="H346" s="219"/>
      <c r="I346" s="232"/>
      <c r="J346" s="233"/>
      <c r="K346" s="222"/>
      <c r="L346" s="223"/>
      <c r="M346" s="22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32"/>
      <c r="AX346" s="32"/>
      <c r="AY346" s="32"/>
      <c r="AZ346" s="5"/>
      <c r="BA346" s="5"/>
      <c r="BB346" s="5"/>
      <c r="BC346" s="5"/>
      <c r="BD346" s="5"/>
      <c r="BE346" s="5"/>
      <c r="BF346" s="5"/>
    </row>
    <row r="347" spans="2:58" s="149" customFormat="1" x14ac:dyDescent="0.25">
      <c r="B347" s="135"/>
      <c r="C347" s="111"/>
      <c r="D347" s="111"/>
      <c r="E347" s="136"/>
      <c r="F347" s="43"/>
      <c r="G347" s="5"/>
      <c r="H347" s="219"/>
      <c r="I347" s="232"/>
      <c r="J347" s="233"/>
      <c r="K347" s="222"/>
      <c r="L347" s="223"/>
      <c r="M347" s="22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32"/>
      <c r="AX347" s="32"/>
      <c r="AY347" s="32"/>
      <c r="AZ347" s="5"/>
      <c r="BA347" s="5"/>
      <c r="BB347" s="5"/>
      <c r="BC347" s="5"/>
      <c r="BD347" s="5"/>
      <c r="BE347" s="5"/>
      <c r="BF347" s="5"/>
    </row>
    <row r="348" spans="2:58" s="149" customFormat="1" x14ac:dyDescent="0.25">
      <c r="B348" s="135"/>
      <c r="C348" s="111"/>
      <c r="D348" s="111"/>
      <c r="E348" s="136"/>
      <c r="F348" s="43"/>
      <c r="G348" s="5"/>
      <c r="H348" s="219"/>
      <c r="I348" s="232"/>
      <c r="J348" s="233"/>
      <c r="K348" s="222"/>
      <c r="L348" s="223"/>
      <c r="M348" s="22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32"/>
      <c r="AX348" s="32"/>
      <c r="AY348" s="32"/>
      <c r="AZ348" s="5"/>
      <c r="BA348" s="5"/>
      <c r="BB348" s="5"/>
      <c r="BC348" s="5"/>
      <c r="BD348" s="5"/>
      <c r="BE348" s="5"/>
      <c r="BF348" s="5"/>
    </row>
    <row r="349" spans="2:58" s="149" customFormat="1" x14ac:dyDescent="0.25">
      <c r="B349" s="135"/>
      <c r="C349" s="111"/>
      <c r="D349" s="111"/>
      <c r="E349" s="136"/>
      <c r="F349" s="43"/>
      <c r="G349" s="5"/>
      <c r="H349" s="219"/>
      <c r="I349" s="232"/>
      <c r="J349" s="233"/>
      <c r="K349" s="222"/>
      <c r="L349" s="223"/>
      <c r="M349" s="22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32"/>
      <c r="AX349" s="32"/>
      <c r="AY349" s="32"/>
      <c r="AZ349" s="5"/>
      <c r="BA349" s="5"/>
      <c r="BB349" s="5"/>
      <c r="BC349" s="5"/>
      <c r="BD349" s="5"/>
      <c r="BE349" s="5"/>
      <c r="BF349" s="5"/>
    </row>
    <row r="350" spans="2:58" s="149" customFormat="1" x14ac:dyDescent="0.25">
      <c r="B350" s="135"/>
      <c r="C350" s="111"/>
      <c r="D350" s="111"/>
      <c r="E350" s="136"/>
      <c r="F350" s="43"/>
      <c r="G350" s="5"/>
      <c r="H350" s="219"/>
      <c r="I350" s="232"/>
      <c r="J350" s="233"/>
      <c r="K350" s="222"/>
      <c r="L350" s="223"/>
      <c r="M350" s="22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32"/>
      <c r="AX350" s="32"/>
      <c r="AY350" s="32"/>
      <c r="AZ350" s="5"/>
      <c r="BA350" s="5"/>
      <c r="BB350" s="5"/>
      <c r="BC350" s="5"/>
      <c r="BD350" s="5"/>
      <c r="BE350" s="5"/>
      <c r="BF350" s="5"/>
    </row>
    <row r="351" spans="2:58" s="149" customFormat="1" x14ac:dyDescent="0.25">
      <c r="B351" s="135"/>
      <c r="C351" s="111"/>
      <c r="D351" s="111"/>
      <c r="E351" s="136"/>
      <c r="F351" s="43"/>
      <c r="G351" s="5"/>
      <c r="H351" s="219"/>
      <c r="I351" s="232"/>
      <c r="J351" s="233"/>
      <c r="K351" s="222"/>
      <c r="L351" s="223"/>
      <c r="M351" s="22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32"/>
      <c r="AX351" s="32"/>
      <c r="AY351" s="32"/>
      <c r="AZ351" s="5"/>
      <c r="BA351" s="5"/>
      <c r="BB351" s="5"/>
      <c r="BC351" s="5"/>
      <c r="BD351" s="5"/>
      <c r="BE351" s="5"/>
      <c r="BF351" s="5"/>
    </row>
    <row r="352" spans="2:58" s="149" customFormat="1" x14ac:dyDescent="0.25">
      <c r="B352" s="135"/>
      <c r="C352" s="111"/>
      <c r="D352" s="111"/>
      <c r="E352" s="136"/>
      <c r="F352" s="43"/>
      <c r="G352" s="5"/>
      <c r="H352" s="219"/>
      <c r="I352" s="232"/>
      <c r="J352" s="233"/>
      <c r="K352" s="222"/>
      <c r="L352" s="223"/>
      <c r="M352" s="22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32"/>
      <c r="AX352" s="32"/>
      <c r="AY352" s="32"/>
      <c r="AZ352" s="5"/>
      <c r="BA352" s="5"/>
      <c r="BB352" s="5"/>
      <c r="BC352" s="5"/>
      <c r="BD352" s="5"/>
      <c r="BE352" s="5"/>
      <c r="BF352" s="5"/>
    </row>
    <row r="353" spans="2:58" s="149" customFormat="1" x14ac:dyDescent="0.25">
      <c r="B353" s="135"/>
      <c r="C353" s="111"/>
      <c r="D353" s="111"/>
      <c r="E353" s="136"/>
      <c r="F353" s="43"/>
      <c r="G353" s="5"/>
      <c r="H353" s="219"/>
      <c r="I353" s="232"/>
      <c r="J353" s="233"/>
      <c r="K353" s="222"/>
      <c r="L353" s="223"/>
      <c r="M353" s="22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32"/>
      <c r="AX353" s="32"/>
      <c r="AY353" s="32"/>
      <c r="AZ353" s="5"/>
      <c r="BA353" s="5"/>
      <c r="BB353" s="5"/>
      <c r="BC353" s="5"/>
      <c r="BD353" s="5"/>
      <c r="BE353" s="5"/>
      <c r="BF353" s="5"/>
    </row>
    <row r="354" spans="2:58" s="149" customFormat="1" x14ac:dyDescent="0.25">
      <c r="B354" s="135"/>
      <c r="C354" s="111"/>
      <c r="D354" s="111"/>
      <c r="E354" s="136"/>
      <c r="F354" s="43"/>
      <c r="G354" s="5"/>
      <c r="H354" s="219"/>
      <c r="I354" s="232"/>
      <c r="J354" s="233"/>
      <c r="K354" s="222"/>
      <c r="L354" s="223"/>
      <c r="M354" s="22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32"/>
      <c r="AX354" s="32"/>
      <c r="AY354" s="32"/>
      <c r="AZ354" s="5"/>
      <c r="BA354" s="5"/>
      <c r="BB354" s="5"/>
      <c r="BC354" s="5"/>
      <c r="BD354" s="5"/>
      <c r="BE354" s="5"/>
      <c r="BF354" s="5"/>
    </row>
    <row r="355" spans="2:58" s="149" customFormat="1" x14ac:dyDescent="0.25">
      <c r="B355" s="135"/>
      <c r="C355" s="111"/>
      <c r="D355" s="111"/>
      <c r="E355" s="136"/>
      <c r="F355" s="43"/>
      <c r="G355" s="5"/>
      <c r="H355" s="219"/>
      <c r="I355" s="232"/>
      <c r="J355" s="233"/>
      <c r="K355" s="222"/>
      <c r="L355" s="223"/>
      <c r="M355" s="22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32"/>
      <c r="AX355" s="32"/>
      <c r="AY355" s="32"/>
      <c r="AZ355" s="5"/>
      <c r="BA355" s="5"/>
      <c r="BB355" s="5"/>
      <c r="BC355" s="5"/>
      <c r="BD355" s="5"/>
      <c r="BE355" s="5"/>
      <c r="BF355" s="5"/>
    </row>
    <row r="356" spans="2:58" s="149" customFormat="1" x14ac:dyDescent="0.25">
      <c r="B356" s="135"/>
      <c r="C356" s="111"/>
      <c r="D356" s="111"/>
      <c r="E356" s="136"/>
      <c r="F356" s="43"/>
      <c r="G356" s="5"/>
      <c r="H356" s="219"/>
      <c r="I356" s="232"/>
      <c r="J356" s="233"/>
      <c r="K356" s="222"/>
      <c r="L356" s="223"/>
      <c r="M356" s="22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32"/>
      <c r="AX356" s="32"/>
      <c r="AY356" s="32"/>
      <c r="AZ356" s="5"/>
      <c r="BA356" s="5"/>
      <c r="BB356" s="5"/>
      <c r="BC356" s="5"/>
      <c r="BD356" s="5"/>
      <c r="BE356" s="5"/>
      <c r="BF356" s="5"/>
    </row>
    <row r="357" spans="2:58" s="149" customFormat="1" x14ac:dyDescent="0.25">
      <c r="B357" s="135"/>
      <c r="C357" s="111"/>
      <c r="D357" s="111"/>
      <c r="E357" s="136"/>
      <c r="F357" s="43"/>
      <c r="G357" s="5"/>
      <c r="H357" s="219"/>
      <c r="I357" s="232"/>
      <c r="J357" s="233"/>
      <c r="K357" s="222"/>
      <c r="L357" s="223"/>
      <c r="M357" s="22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32"/>
      <c r="AX357" s="32"/>
      <c r="AY357" s="32"/>
      <c r="AZ357" s="5"/>
      <c r="BA357" s="5"/>
      <c r="BB357" s="5"/>
      <c r="BC357" s="5"/>
      <c r="BD357" s="5"/>
      <c r="BE357" s="5"/>
      <c r="BF357" s="5"/>
    </row>
    <row r="358" spans="2:58" s="149" customFormat="1" x14ac:dyDescent="0.25">
      <c r="B358" s="135"/>
      <c r="C358" s="111"/>
      <c r="D358" s="111"/>
      <c r="E358" s="136"/>
      <c r="F358" s="43"/>
      <c r="G358" s="5"/>
      <c r="H358" s="219"/>
      <c r="I358" s="232"/>
      <c r="J358" s="233"/>
      <c r="K358" s="222"/>
      <c r="L358" s="223"/>
      <c r="M358" s="22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32"/>
      <c r="AX358" s="32"/>
      <c r="AY358" s="32"/>
      <c r="AZ358" s="5"/>
      <c r="BA358" s="5"/>
      <c r="BB358" s="5"/>
      <c r="BC358" s="5"/>
      <c r="BD358" s="5"/>
      <c r="BE358" s="5"/>
      <c r="BF358" s="5"/>
    </row>
    <row r="359" spans="2:58" s="149" customFormat="1" x14ac:dyDescent="0.25">
      <c r="B359" s="135"/>
      <c r="C359" s="111"/>
      <c r="D359" s="111"/>
      <c r="E359" s="136"/>
      <c r="F359" s="43"/>
      <c r="G359" s="5"/>
      <c r="H359" s="219"/>
      <c r="I359" s="232"/>
      <c r="J359" s="233"/>
      <c r="K359" s="222"/>
      <c r="L359" s="223"/>
      <c r="M359" s="22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32"/>
      <c r="AX359" s="32"/>
      <c r="AY359" s="32"/>
      <c r="AZ359" s="5"/>
      <c r="BA359" s="5"/>
      <c r="BB359" s="5"/>
      <c r="BC359" s="5"/>
      <c r="BD359" s="5"/>
      <c r="BE359" s="5"/>
      <c r="BF359" s="5"/>
    </row>
    <row r="360" spans="2:58" s="149" customFormat="1" x14ac:dyDescent="0.25">
      <c r="B360" s="135"/>
      <c r="C360" s="111"/>
      <c r="D360" s="111"/>
      <c r="E360" s="136"/>
      <c r="F360" s="43"/>
      <c r="G360" s="5"/>
      <c r="H360" s="219"/>
      <c r="I360" s="232"/>
      <c r="J360" s="233"/>
      <c r="K360" s="222"/>
      <c r="L360" s="223"/>
      <c r="M360" s="22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32"/>
      <c r="AX360" s="32"/>
      <c r="AY360" s="32"/>
      <c r="AZ360" s="5"/>
      <c r="BA360" s="5"/>
      <c r="BB360" s="5"/>
      <c r="BC360" s="5"/>
      <c r="BD360" s="5"/>
      <c r="BE360" s="5"/>
      <c r="BF360" s="5"/>
    </row>
    <row r="361" spans="2:58" s="149" customFormat="1" x14ac:dyDescent="0.25">
      <c r="B361" s="135"/>
      <c r="C361" s="111"/>
      <c r="D361" s="111"/>
      <c r="E361" s="136"/>
      <c r="F361" s="43"/>
      <c r="G361" s="5"/>
      <c r="H361" s="219"/>
      <c r="I361" s="232"/>
      <c r="J361" s="233"/>
      <c r="K361" s="222"/>
      <c r="L361" s="223"/>
      <c r="M361" s="22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32"/>
      <c r="AX361" s="32"/>
      <c r="AY361" s="32"/>
      <c r="AZ361" s="5"/>
      <c r="BA361" s="5"/>
      <c r="BB361" s="5"/>
      <c r="BC361" s="5"/>
      <c r="BD361" s="5"/>
      <c r="BE361" s="5"/>
      <c r="BF361" s="5"/>
    </row>
    <row r="362" spans="2:58" s="149" customFormat="1" x14ac:dyDescent="0.25">
      <c r="B362" s="135"/>
      <c r="C362" s="111"/>
      <c r="D362" s="111"/>
      <c r="E362" s="136"/>
      <c r="F362" s="43"/>
      <c r="G362" s="5"/>
      <c r="H362" s="219"/>
      <c r="I362" s="232"/>
      <c r="J362" s="233"/>
      <c r="K362" s="222"/>
      <c r="L362" s="223"/>
      <c r="M362" s="22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32"/>
      <c r="AX362" s="32"/>
      <c r="AY362" s="32"/>
      <c r="AZ362" s="5"/>
      <c r="BA362" s="5"/>
      <c r="BB362" s="5"/>
      <c r="BC362" s="5"/>
      <c r="BD362" s="5"/>
      <c r="BE362" s="5"/>
      <c r="BF362" s="5"/>
    </row>
    <row r="363" spans="2:58" s="149" customFormat="1" x14ac:dyDescent="0.25">
      <c r="B363" s="135"/>
      <c r="C363" s="111"/>
      <c r="D363" s="111"/>
      <c r="E363" s="136"/>
      <c r="F363" s="43"/>
      <c r="G363" s="5"/>
      <c r="H363" s="219"/>
      <c r="I363" s="232"/>
      <c r="J363" s="233"/>
      <c r="K363" s="222"/>
      <c r="L363" s="223"/>
      <c r="M363" s="22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32"/>
      <c r="AX363" s="32"/>
      <c r="AY363" s="32"/>
      <c r="AZ363" s="5"/>
      <c r="BA363" s="5"/>
      <c r="BB363" s="5"/>
      <c r="BC363" s="5"/>
      <c r="BD363" s="5"/>
      <c r="BE363" s="5"/>
      <c r="BF363" s="5"/>
    </row>
    <row r="364" spans="2:58" s="149" customFormat="1" x14ac:dyDescent="0.25">
      <c r="B364" s="135"/>
      <c r="C364" s="111"/>
      <c r="D364" s="111"/>
      <c r="E364" s="136"/>
      <c r="F364" s="43"/>
      <c r="G364" s="5"/>
      <c r="H364" s="219"/>
      <c r="I364" s="232"/>
      <c r="J364" s="233"/>
      <c r="K364" s="222"/>
      <c r="L364" s="223"/>
      <c r="M364" s="22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32"/>
      <c r="AX364" s="32"/>
      <c r="AY364" s="32"/>
      <c r="AZ364" s="5"/>
      <c r="BA364" s="5"/>
      <c r="BB364" s="5"/>
      <c r="BC364" s="5"/>
      <c r="BD364" s="5"/>
      <c r="BE364" s="5"/>
      <c r="BF364" s="5"/>
    </row>
    <row r="365" spans="2:58" s="149" customFormat="1" x14ac:dyDescent="0.25">
      <c r="B365" s="135"/>
      <c r="C365" s="111"/>
      <c r="D365" s="111"/>
      <c r="E365" s="136"/>
      <c r="F365" s="43"/>
      <c r="G365" s="5"/>
      <c r="H365" s="219"/>
      <c r="I365" s="232"/>
      <c r="J365" s="233"/>
      <c r="K365" s="222"/>
      <c r="L365" s="223"/>
      <c r="M365" s="22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32"/>
      <c r="AX365" s="32"/>
      <c r="AY365" s="32"/>
      <c r="AZ365" s="5"/>
      <c r="BA365" s="5"/>
      <c r="BB365" s="5"/>
      <c r="BC365" s="5"/>
      <c r="BD365" s="5"/>
      <c r="BE365" s="5"/>
      <c r="BF365" s="5"/>
    </row>
    <row r="366" spans="2:58" s="149" customFormat="1" x14ac:dyDescent="0.25">
      <c r="B366" s="135"/>
      <c r="C366" s="111"/>
      <c r="D366" s="111"/>
      <c r="E366" s="136"/>
      <c r="F366" s="43"/>
      <c r="G366" s="5"/>
      <c r="H366" s="219"/>
      <c r="I366" s="232"/>
      <c r="J366" s="233"/>
      <c r="K366" s="222"/>
      <c r="L366" s="223"/>
      <c r="M366" s="22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32"/>
      <c r="AX366" s="32"/>
      <c r="AY366" s="32"/>
      <c r="AZ366" s="5"/>
      <c r="BA366" s="5"/>
      <c r="BB366" s="5"/>
      <c r="BC366" s="5"/>
      <c r="BD366" s="5"/>
      <c r="BE366" s="5"/>
      <c r="BF366" s="5"/>
    </row>
    <row r="367" spans="2:58" s="149" customFormat="1" x14ac:dyDescent="0.25">
      <c r="B367" s="135"/>
      <c r="C367" s="111"/>
      <c r="D367" s="111"/>
      <c r="E367" s="136"/>
      <c r="F367" s="43"/>
      <c r="G367" s="5"/>
      <c r="H367" s="219"/>
      <c r="I367" s="232"/>
      <c r="J367" s="233"/>
      <c r="K367" s="222"/>
      <c r="L367" s="223"/>
      <c r="M367" s="22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32"/>
      <c r="AX367" s="32"/>
      <c r="AY367" s="32"/>
      <c r="AZ367" s="5"/>
      <c r="BA367" s="5"/>
      <c r="BB367" s="5"/>
      <c r="BC367" s="5"/>
      <c r="BD367" s="5"/>
      <c r="BE367" s="5"/>
      <c r="BF367" s="5"/>
    </row>
    <row r="368" spans="2:58" s="149" customFormat="1" x14ac:dyDescent="0.25">
      <c r="B368" s="135"/>
      <c r="C368" s="111"/>
      <c r="D368" s="111"/>
      <c r="E368" s="136"/>
      <c r="F368" s="43"/>
      <c r="G368" s="5"/>
      <c r="H368" s="219"/>
      <c r="I368" s="232"/>
      <c r="J368" s="233"/>
      <c r="K368" s="222"/>
      <c r="L368" s="223"/>
      <c r="M368" s="22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32"/>
      <c r="AX368" s="32"/>
      <c r="AY368" s="32"/>
      <c r="AZ368" s="5"/>
      <c r="BA368" s="5"/>
      <c r="BB368" s="5"/>
      <c r="BC368" s="5"/>
      <c r="BD368" s="5"/>
      <c r="BE368" s="5"/>
      <c r="BF368" s="5"/>
    </row>
    <row r="369" spans="2:58" s="149" customFormat="1" x14ac:dyDescent="0.25">
      <c r="B369" s="135"/>
      <c r="C369" s="111"/>
      <c r="D369" s="111"/>
      <c r="E369" s="136"/>
      <c r="F369" s="43"/>
      <c r="G369" s="5"/>
      <c r="H369" s="219"/>
      <c r="I369" s="232"/>
      <c r="J369" s="233"/>
      <c r="K369" s="222"/>
      <c r="L369" s="223"/>
      <c r="M369" s="22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32"/>
      <c r="AX369" s="32"/>
      <c r="AY369" s="32"/>
      <c r="AZ369" s="5"/>
      <c r="BA369" s="5"/>
      <c r="BB369" s="5"/>
      <c r="BC369" s="5"/>
      <c r="BD369" s="5"/>
      <c r="BE369" s="5"/>
      <c r="BF369" s="5"/>
    </row>
    <row r="370" spans="2:58" s="149" customFormat="1" x14ac:dyDescent="0.25">
      <c r="B370" s="135"/>
      <c r="C370" s="111"/>
      <c r="D370" s="111"/>
      <c r="E370" s="136"/>
      <c r="F370" s="43"/>
      <c r="G370" s="5"/>
      <c r="H370" s="219"/>
      <c r="I370" s="232"/>
      <c r="J370" s="233"/>
      <c r="K370" s="222"/>
      <c r="L370" s="223"/>
      <c r="M370" s="22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32"/>
      <c r="AX370" s="32"/>
      <c r="AY370" s="32"/>
      <c r="AZ370" s="5"/>
      <c r="BA370" s="5"/>
      <c r="BB370" s="5"/>
      <c r="BC370" s="5"/>
      <c r="BD370" s="5"/>
      <c r="BE370" s="5"/>
      <c r="BF370" s="5"/>
    </row>
    <row r="371" spans="2:58" s="149" customFormat="1" x14ac:dyDescent="0.25">
      <c r="B371" s="135"/>
      <c r="C371" s="111"/>
      <c r="D371" s="111"/>
      <c r="E371" s="136"/>
      <c r="F371" s="43"/>
      <c r="G371" s="5"/>
      <c r="H371" s="219"/>
      <c r="I371" s="232"/>
      <c r="J371" s="233"/>
      <c r="K371" s="222"/>
      <c r="L371" s="223"/>
      <c r="M371" s="22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32"/>
      <c r="AX371" s="32"/>
      <c r="AY371" s="32"/>
      <c r="AZ371" s="5"/>
      <c r="BA371" s="5"/>
      <c r="BB371" s="5"/>
      <c r="BC371" s="5"/>
      <c r="BD371" s="5"/>
      <c r="BE371" s="5"/>
      <c r="BF371" s="5"/>
    </row>
    <row r="372" spans="2:58" s="149" customFormat="1" x14ac:dyDescent="0.25">
      <c r="B372" s="135"/>
      <c r="C372" s="111"/>
      <c r="D372" s="111"/>
      <c r="E372" s="136"/>
      <c r="F372" s="43"/>
      <c r="G372" s="5"/>
      <c r="H372" s="219"/>
      <c r="I372" s="232"/>
      <c r="J372" s="233"/>
      <c r="K372" s="222"/>
      <c r="L372" s="223"/>
      <c r="M372" s="22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32"/>
      <c r="AX372" s="32"/>
      <c r="AY372" s="32"/>
      <c r="AZ372" s="5"/>
      <c r="BA372" s="5"/>
      <c r="BB372" s="5"/>
      <c r="BC372" s="5"/>
      <c r="BD372" s="5"/>
      <c r="BE372" s="5"/>
      <c r="BF372" s="5"/>
    </row>
    <row r="373" spans="2:58" s="149" customFormat="1" x14ac:dyDescent="0.25">
      <c r="B373" s="135"/>
      <c r="C373" s="111"/>
      <c r="D373" s="111"/>
      <c r="E373" s="136"/>
      <c r="F373" s="43"/>
      <c r="G373" s="5"/>
      <c r="H373" s="219"/>
      <c r="I373" s="232"/>
      <c r="J373" s="233"/>
      <c r="K373" s="222"/>
      <c r="L373" s="223"/>
      <c r="M373" s="22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32"/>
      <c r="AX373" s="32"/>
      <c r="AY373" s="32"/>
      <c r="AZ373" s="5"/>
      <c r="BA373" s="5"/>
      <c r="BB373" s="5"/>
      <c r="BC373" s="5"/>
      <c r="BD373" s="5"/>
      <c r="BE373" s="5"/>
      <c r="BF373" s="5"/>
    </row>
    <row r="374" spans="2:58" s="149" customFormat="1" x14ac:dyDescent="0.25">
      <c r="B374" s="135"/>
      <c r="C374" s="111"/>
      <c r="D374" s="111"/>
      <c r="E374" s="136"/>
      <c r="F374" s="43"/>
      <c r="G374" s="5"/>
      <c r="H374" s="219"/>
      <c r="I374" s="232"/>
      <c r="J374" s="233"/>
      <c r="K374" s="222"/>
      <c r="L374" s="223"/>
      <c r="M374" s="22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32"/>
      <c r="AX374" s="32"/>
      <c r="AY374" s="32"/>
      <c r="AZ374" s="5"/>
      <c r="BA374" s="5"/>
      <c r="BB374" s="5"/>
      <c r="BC374" s="5"/>
      <c r="BD374" s="5"/>
      <c r="BE374" s="5"/>
      <c r="BF374" s="5"/>
    </row>
    <row r="375" spans="2:58" s="149" customFormat="1" x14ac:dyDescent="0.25">
      <c r="B375" s="135"/>
      <c r="C375" s="111"/>
      <c r="D375" s="111"/>
      <c r="E375" s="136"/>
      <c r="F375" s="43"/>
      <c r="G375" s="5"/>
      <c r="H375" s="219"/>
      <c r="I375" s="232"/>
      <c r="J375" s="233"/>
      <c r="K375" s="222"/>
      <c r="L375" s="223"/>
      <c r="M375" s="22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32"/>
      <c r="AX375" s="32"/>
      <c r="AY375" s="32"/>
      <c r="AZ375" s="5"/>
      <c r="BA375" s="5"/>
      <c r="BB375" s="5"/>
      <c r="BC375" s="5"/>
      <c r="BD375" s="5"/>
      <c r="BE375" s="5"/>
      <c r="BF375" s="5"/>
    </row>
    <row r="376" spans="2:58" s="149" customFormat="1" x14ac:dyDescent="0.25">
      <c r="B376" s="135"/>
      <c r="C376" s="111"/>
      <c r="D376" s="111"/>
      <c r="E376" s="136"/>
      <c r="F376" s="43"/>
      <c r="G376" s="5"/>
      <c r="H376" s="219"/>
      <c r="I376" s="232"/>
      <c r="J376" s="233"/>
      <c r="K376" s="222"/>
      <c r="L376" s="223"/>
      <c r="M376" s="22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32"/>
      <c r="AX376" s="32"/>
      <c r="AY376" s="32"/>
      <c r="AZ376" s="5"/>
      <c r="BA376" s="5"/>
      <c r="BB376" s="5"/>
      <c r="BC376" s="5"/>
      <c r="BD376" s="5"/>
      <c r="BE376" s="5"/>
      <c r="BF376" s="5"/>
    </row>
    <row r="377" spans="2:58" s="149" customFormat="1" x14ac:dyDescent="0.25">
      <c r="B377" s="135"/>
      <c r="C377" s="111"/>
      <c r="D377" s="111"/>
      <c r="E377" s="136"/>
      <c r="F377" s="43"/>
      <c r="G377" s="5"/>
      <c r="H377" s="219"/>
      <c r="I377" s="232"/>
      <c r="J377" s="233"/>
      <c r="K377" s="222"/>
      <c r="L377" s="223"/>
      <c r="M377" s="22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32"/>
      <c r="AX377" s="32"/>
      <c r="AY377" s="32"/>
      <c r="AZ377" s="5"/>
      <c r="BA377" s="5"/>
      <c r="BB377" s="5"/>
      <c r="BC377" s="5"/>
      <c r="BD377" s="5"/>
      <c r="BE377" s="5"/>
      <c r="BF377" s="5"/>
    </row>
    <row r="378" spans="2:58" s="149" customFormat="1" x14ac:dyDescent="0.25">
      <c r="B378" s="135"/>
      <c r="C378" s="111"/>
      <c r="D378" s="111"/>
      <c r="E378" s="136"/>
      <c r="F378" s="43"/>
      <c r="G378" s="5"/>
      <c r="H378" s="219"/>
      <c r="I378" s="232"/>
      <c r="J378" s="233"/>
      <c r="K378" s="222"/>
      <c r="L378" s="223"/>
      <c r="M378" s="22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32"/>
      <c r="AX378" s="32"/>
      <c r="AY378" s="32"/>
      <c r="AZ378" s="5"/>
      <c r="BA378" s="5"/>
      <c r="BB378" s="5"/>
      <c r="BC378" s="5"/>
      <c r="BD378" s="5"/>
      <c r="BE378" s="5"/>
      <c r="BF378" s="5"/>
    </row>
    <row r="379" spans="2:58" s="149" customFormat="1" x14ac:dyDescent="0.25">
      <c r="B379" s="135"/>
      <c r="C379" s="111"/>
      <c r="D379" s="111"/>
      <c r="E379" s="136"/>
      <c r="F379" s="43"/>
      <c r="G379" s="5"/>
      <c r="H379" s="219"/>
      <c r="I379" s="232"/>
      <c r="J379" s="233"/>
      <c r="K379" s="222"/>
      <c r="L379" s="223"/>
      <c r="M379" s="22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32"/>
      <c r="AX379" s="32"/>
      <c r="AY379" s="32"/>
      <c r="AZ379" s="5"/>
      <c r="BA379" s="5"/>
      <c r="BB379" s="5"/>
      <c r="BC379" s="5"/>
      <c r="BD379" s="5"/>
      <c r="BE379" s="5"/>
      <c r="BF379" s="5"/>
    </row>
    <row r="380" spans="2:58" s="149" customFormat="1" x14ac:dyDescent="0.25">
      <c r="B380" s="135"/>
      <c r="C380" s="111"/>
      <c r="D380" s="111"/>
      <c r="E380" s="136"/>
      <c r="F380" s="43"/>
      <c r="G380" s="5"/>
      <c r="H380" s="219"/>
      <c r="I380" s="232"/>
      <c r="J380" s="233"/>
      <c r="K380" s="222"/>
      <c r="L380" s="223"/>
      <c r="M380" s="22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32"/>
      <c r="AX380" s="32"/>
      <c r="AY380" s="32"/>
      <c r="AZ380" s="5"/>
      <c r="BA380" s="5"/>
      <c r="BB380" s="5"/>
      <c r="BC380" s="5"/>
      <c r="BD380" s="5"/>
      <c r="BE380" s="5"/>
      <c r="BF380" s="5"/>
    </row>
    <row r="381" spans="2:58" s="149" customFormat="1" x14ac:dyDescent="0.25">
      <c r="B381" s="135"/>
      <c r="C381" s="111"/>
      <c r="D381" s="111"/>
      <c r="E381" s="136"/>
      <c r="F381" s="43"/>
      <c r="G381" s="5"/>
      <c r="H381" s="219"/>
      <c r="I381" s="232"/>
      <c r="J381" s="233"/>
      <c r="K381" s="222"/>
      <c r="L381" s="223"/>
      <c r="M381" s="22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32"/>
      <c r="AX381" s="32"/>
      <c r="AY381" s="32"/>
      <c r="AZ381" s="5"/>
      <c r="BA381" s="5"/>
      <c r="BB381" s="5"/>
      <c r="BC381" s="5"/>
      <c r="BD381" s="5"/>
      <c r="BE381" s="5"/>
      <c r="BF381" s="5"/>
    </row>
    <row r="382" spans="2:58" s="149" customFormat="1" x14ac:dyDescent="0.25">
      <c r="B382" s="135"/>
      <c r="C382" s="111"/>
      <c r="D382" s="111"/>
      <c r="E382" s="136"/>
      <c r="F382" s="43"/>
      <c r="G382" s="5"/>
      <c r="H382" s="219"/>
      <c r="I382" s="232"/>
      <c r="J382" s="233"/>
      <c r="K382" s="222"/>
      <c r="L382" s="223"/>
      <c r="M382" s="22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32"/>
      <c r="AX382" s="32"/>
      <c r="AY382" s="32"/>
      <c r="AZ382" s="5"/>
      <c r="BA382" s="5"/>
      <c r="BB382" s="5"/>
      <c r="BC382" s="5"/>
      <c r="BD382" s="5"/>
      <c r="BE382" s="5"/>
      <c r="BF382" s="5"/>
    </row>
    <row r="383" spans="2:58" s="149" customFormat="1" x14ac:dyDescent="0.25">
      <c r="B383" s="135"/>
      <c r="C383" s="111"/>
      <c r="D383" s="111"/>
      <c r="E383" s="136"/>
      <c r="F383" s="43"/>
      <c r="G383" s="5"/>
      <c r="H383" s="219"/>
      <c r="I383" s="232"/>
      <c r="J383" s="233"/>
      <c r="K383" s="222"/>
      <c r="L383" s="223"/>
      <c r="M383" s="22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32"/>
      <c r="AX383" s="32"/>
      <c r="AY383" s="32"/>
      <c r="AZ383" s="5"/>
      <c r="BA383" s="5"/>
      <c r="BB383" s="5"/>
      <c r="BC383" s="5"/>
      <c r="BD383" s="5"/>
      <c r="BE383" s="5"/>
      <c r="BF383" s="5"/>
    </row>
    <row r="384" spans="2:58" s="149" customFormat="1" x14ac:dyDescent="0.25">
      <c r="B384" s="135"/>
      <c r="C384" s="111"/>
      <c r="D384" s="111"/>
      <c r="E384" s="136"/>
      <c r="F384" s="43"/>
      <c r="G384" s="5"/>
      <c r="H384" s="219"/>
      <c r="I384" s="232"/>
      <c r="J384" s="233"/>
      <c r="K384" s="222"/>
      <c r="L384" s="223"/>
      <c r="M384" s="22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32"/>
      <c r="AX384" s="32"/>
      <c r="AY384" s="32"/>
      <c r="AZ384" s="5"/>
      <c r="BA384" s="5"/>
      <c r="BB384" s="5"/>
      <c r="BC384" s="5"/>
      <c r="BD384" s="5"/>
      <c r="BE384" s="5"/>
      <c r="BF384" s="5"/>
    </row>
    <row r="385" spans="2:58" s="149" customFormat="1" x14ac:dyDescent="0.25">
      <c r="B385" s="135"/>
      <c r="C385" s="111"/>
      <c r="D385" s="111"/>
      <c r="E385" s="136"/>
      <c r="F385" s="43"/>
      <c r="G385" s="5"/>
      <c r="H385" s="219"/>
      <c r="I385" s="232"/>
      <c r="J385" s="233"/>
      <c r="K385" s="222"/>
      <c r="L385" s="223"/>
      <c r="M385" s="22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32"/>
      <c r="AX385" s="32"/>
      <c r="AY385" s="32"/>
      <c r="AZ385" s="5"/>
      <c r="BA385" s="5"/>
      <c r="BB385" s="5"/>
      <c r="BC385" s="5"/>
      <c r="BD385" s="5"/>
      <c r="BE385" s="5"/>
      <c r="BF385" s="5"/>
    </row>
    <row r="386" spans="2:58" s="149" customFormat="1" x14ac:dyDescent="0.25">
      <c r="B386" s="135"/>
      <c r="C386" s="111"/>
      <c r="D386" s="111"/>
      <c r="E386" s="136"/>
      <c r="F386" s="43"/>
      <c r="G386" s="5"/>
      <c r="H386" s="219"/>
      <c r="I386" s="232"/>
      <c r="J386" s="233"/>
      <c r="K386" s="222"/>
      <c r="L386" s="223"/>
      <c r="M386" s="22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32"/>
      <c r="AX386" s="32"/>
      <c r="AY386" s="32"/>
      <c r="AZ386" s="5"/>
      <c r="BA386" s="5"/>
      <c r="BB386" s="5"/>
      <c r="BC386" s="5"/>
      <c r="BD386" s="5"/>
      <c r="BE386" s="5"/>
      <c r="BF386" s="5"/>
    </row>
  </sheetData>
  <sortState ref="A4:DR36">
    <sortCondition ref="C4:C36"/>
    <sortCondition ref="E4:E36"/>
  </sortState>
  <mergeCells count="6">
    <mergeCell ref="N1:Q1"/>
    <mergeCell ref="R1:AC1"/>
    <mergeCell ref="AE1:AP1"/>
    <mergeCell ref="AR1:AV1"/>
    <mergeCell ref="AF43:AN43"/>
    <mergeCell ref="AO43:AW4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37" workbookViewId="0">
      <selection activeCell="F71" activeCellId="4" sqref="F53:G54 F56:H57 H59:H60 H65:J66 F71:G72"/>
    </sheetView>
  </sheetViews>
  <sheetFormatPr defaultRowHeight="12.75" x14ac:dyDescent="0.2"/>
  <sheetData>
    <row r="1" spans="1:14" ht="15" x14ac:dyDescent="0.25">
      <c r="A1" s="30" t="s">
        <v>64</v>
      </c>
      <c r="B1" s="62" t="s">
        <v>95</v>
      </c>
      <c r="C1" s="17" t="s">
        <v>130</v>
      </c>
      <c r="D1" s="17" t="s">
        <v>131</v>
      </c>
      <c r="E1" s="89" t="s">
        <v>29</v>
      </c>
      <c r="F1" s="152" t="s">
        <v>38</v>
      </c>
      <c r="G1" s="153" t="s">
        <v>39</v>
      </c>
      <c r="H1" s="153" t="s">
        <v>40</v>
      </c>
      <c r="I1" s="82" t="s">
        <v>41</v>
      </c>
      <c r="J1" s="152" t="s">
        <v>97</v>
      </c>
      <c r="K1" s="153" t="s">
        <v>98</v>
      </c>
      <c r="L1" s="153" t="s">
        <v>42</v>
      </c>
      <c r="M1" s="56" t="s">
        <v>34</v>
      </c>
      <c r="N1" s="16" t="s">
        <v>135</v>
      </c>
    </row>
    <row r="2" spans="1:14" x14ac:dyDescent="0.2">
      <c r="A2" s="205" t="s">
        <v>103</v>
      </c>
      <c r="B2">
        <v>2.9512092266663778E-2</v>
      </c>
      <c r="C2">
        <v>4.9709489993544222E-2</v>
      </c>
      <c r="D2">
        <v>3.8500000000000005</v>
      </c>
      <c r="E2">
        <v>4.6470000000000002</v>
      </c>
      <c r="F2">
        <v>464.1344049527238</v>
      </c>
      <c r="G2">
        <v>150.9570562913604</v>
      </c>
      <c r="H2">
        <v>535.55439243163823</v>
      </c>
      <c r="I2">
        <v>31.34580972580056</v>
      </c>
      <c r="J2">
        <v>140.95367723979746</v>
      </c>
      <c r="K2">
        <v>20.094584251107008</v>
      </c>
      <c r="L2">
        <v>466.43887578643898</v>
      </c>
      <c r="M2">
        <v>1.8425905167319754</v>
      </c>
      <c r="N2">
        <v>110.79899835272064</v>
      </c>
    </row>
    <row r="3" spans="1:14" x14ac:dyDescent="0.2">
      <c r="A3" s="205" t="s">
        <v>103</v>
      </c>
      <c r="B3">
        <v>0.1659586907437556</v>
      </c>
      <c r="C3">
        <v>5.2655064703257468E-2</v>
      </c>
      <c r="D3">
        <v>8.4285714285714288</v>
      </c>
      <c r="E3">
        <v>2.2410000000000001</v>
      </c>
      <c r="F3">
        <v>225.99481012026547</v>
      </c>
      <c r="G3">
        <v>63.006581112207954</v>
      </c>
      <c r="H3">
        <v>160.77163984341018</v>
      </c>
      <c r="I3">
        <v>0.01</v>
      </c>
      <c r="J3">
        <v>95.274303450470228</v>
      </c>
      <c r="K3">
        <v>10.48281447410357</v>
      </c>
      <c r="L3">
        <v>217.88788894383362</v>
      </c>
      <c r="M3">
        <v>3.5841136583790769</v>
      </c>
      <c r="N3">
        <v>229.5822572354603</v>
      </c>
    </row>
    <row r="4" spans="1:14" x14ac:dyDescent="0.2">
      <c r="A4" s="205" t="s">
        <v>103</v>
      </c>
      <c r="B4">
        <v>9.5499258602143561E-2</v>
      </c>
      <c r="C4">
        <v>3.3671833244254407E-2</v>
      </c>
      <c r="D4">
        <v>9.9473684210526319</v>
      </c>
      <c r="E4">
        <v>5.6130000000000004</v>
      </c>
      <c r="F4">
        <v>204.55112530565398</v>
      </c>
      <c r="G4">
        <v>65.391576176373817</v>
      </c>
      <c r="H4">
        <v>128.01217920835148</v>
      </c>
      <c r="I4">
        <v>15.045266226791471</v>
      </c>
      <c r="J4">
        <v>70.088521593686067</v>
      </c>
      <c r="K4">
        <v>9.0758243529633358</v>
      </c>
      <c r="L4">
        <v>123.48485939560162</v>
      </c>
      <c r="M4">
        <v>1.3561511139812723</v>
      </c>
      <c r="N4">
        <v>208.47549925860213</v>
      </c>
    </row>
    <row r="5" spans="1:14" x14ac:dyDescent="0.2">
      <c r="A5" s="205" t="s">
        <v>268</v>
      </c>
      <c r="B5">
        <v>0.14791083881682041</v>
      </c>
      <c r="C5">
        <v>4.371995192307692E-2</v>
      </c>
      <c r="D5">
        <v>7.8648648648648649</v>
      </c>
      <c r="E5">
        <v>6.6559999999999997</v>
      </c>
      <c r="F5">
        <v>302.83286164202235</v>
      </c>
      <c r="G5">
        <v>45.159627849685336</v>
      </c>
      <c r="H5">
        <v>71.458731811447109</v>
      </c>
      <c r="I5">
        <v>12.13176030390896</v>
      </c>
      <c r="J5">
        <v>62.050279145016773</v>
      </c>
      <c r="K5">
        <v>21.301952464071096</v>
      </c>
      <c r="L5">
        <v>74.084981268839016</v>
      </c>
      <c r="M5">
        <v>6.3125315654440697E-2</v>
      </c>
      <c r="N5">
        <v>210.30078665581024</v>
      </c>
    </row>
    <row r="6" spans="1:14" x14ac:dyDescent="0.2">
      <c r="A6" s="205" t="s">
        <v>105</v>
      </c>
      <c r="B6">
        <v>3.5481338923357426E-2</v>
      </c>
      <c r="C6">
        <v>5.4542844839959817E-2</v>
      </c>
      <c r="D6">
        <v>16.521739130434781</v>
      </c>
      <c r="E6">
        <v>6.9669999999999996</v>
      </c>
      <c r="F6">
        <v>1161.8206334519548</v>
      </c>
      <c r="G6">
        <v>293.9822340860153</v>
      </c>
      <c r="H6">
        <v>853.1137092147718</v>
      </c>
      <c r="I6">
        <v>77.580352159784766</v>
      </c>
      <c r="J6">
        <v>370.80521221449959</v>
      </c>
      <c r="K6">
        <v>68.476355922041535</v>
      </c>
      <c r="L6">
        <v>881.5829104718398</v>
      </c>
      <c r="M6">
        <v>0.13831398612250556</v>
      </c>
      <c r="N6">
        <v>710.70463796542924</v>
      </c>
    </row>
    <row r="7" spans="1:14" x14ac:dyDescent="0.2">
      <c r="A7" s="205" t="s">
        <v>105</v>
      </c>
      <c r="B7">
        <v>3.0199517204020188E-2</v>
      </c>
      <c r="C7">
        <v>4.0058418527018566E-2</v>
      </c>
      <c r="D7">
        <v>11.294117647058822</v>
      </c>
      <c r="E7">
        <v>4.7930000000000001</v>
      </c>
      <c r="F7">
        <v>902.83946304705808</v>
      </c>
      <c r="G7">
        <v>231.94389601842713</v>
      </c>
      <c r="H7">
        <v>793.64941278816877</v>
      </c>
      <c r="I7">
        <v>44.33967571991203</v>
      </c>
      <c r="J7">
        <v>408.94083080047886</v>
      </c>
      <c r="K7">
        <v>54.388255320920337</v>
      </c>
      <c r="L7">
        <v>945.32152930440861</v>
      </c>
      <c r="M7">
        <v>3.1966419115272844</v>
      </c>
      <c r="N7">
        <v>834.05062521887896</v>
      </c>
    </row>
    <row r="8" spans="1:14" x14ac:dyDescent="0.2">
      <c r="A8" s="205" t="s">
        <v>105</v>
      </c>
      <c r="B8">
        <v>5.3703179637025193E-2</v>
      </c>
      <c r="C8">
        <v>3.3700367033700371E-2</v>
      </c>
      <c r="D8">
        <v>9.7741935483870961</v>
      </c>
      <c r="E8">
        <v>8.9909999999999997</v>
      </c>
      <c r="F8">
        <v>813.81306452417778</v>
      </c>
      <c r="G8">
        <v>217.58802237578152</v>
      </c>
      <c r="H8">
        <v>564.46280991735546</v>
      </c>
      <c r="I8">
        <v>60.585136310163172</v>
      </c>
      <c r="J8">
        <v>330.52531380932891</v>
      </c>
      <c r="K8">
        <v>61.982730408513916</v>
      </c>
      <c r="L8">
        <v>669.51847957621862</v>
      </c>
      <c r="M8">
        <v>1.5498869874071683</v>
      </c>
      <c r="N8">
        <v>778.43370317963706</v>
      </c>
    </row>
    <row r="9" spans="1:14" x14ac:dyDescent="0.2">
      <c r="A9" s="205" t="s">
        <v>146</v>
      </c>
      <c r="B9">
        <v>4.1686938347033513E-2</v>
      </c>
      <c r="C9">
        <v>2.4749272080232931E-2</v>
      </c>
      <c r="D9">
        <v>12.75</v>
      </c>
      <c r="E9">
        <v>6.1820000000000004</v>
      </c>
      <c r="F9">
        <v>1045.8106691950695</v>
      </c>
      <c r="G9">
        <v>238.9766370516617</v>
      </c>
      <c r="H9">
        <v>860.46107003044801</v>
      </c>
      <c r="I9">
        <v>76.870748299319729</v>
      </c>
      <c r="J9">
        <v>406.78405897163742</v>
      </c>
      <c r="K9">
        <v>2.5348300440324674</v>
      </c>
      <c r="L9">
        <v>983.98646201666702</v>
      </c>
      <c r="M9">
        <v>0.96867936712948011</v>
      </c>
      <c r="N9">
        <v>1128.4216869383472</v>
      </c>
    </row>
    <row r="10" spans="1:14" x14ac:dyDescent="0.2">
      <c r="A10" s="205" t="s">
        <v>106</v>
      </c>
      <c r="B10">
        <v>3.9810717055349568E-2</v>
      </c>
      <c r="C10">
        <v>2.5393883225208531E-2</v>
      </c>
      <c r="D10">
        <v>274</v>
      </c>
      <c r="E10">
        <v>5.3949999999999996</v>
      </c>
      <c r="F10">
        <v>1406.1542349102774</v>
      </c>
      <c r="G10">
        <v>309.40234884165022</v>
      </c>
      <c r="H10">
        <v>1177.6737437304007</v>
      </c>
      <c r="I10">
        <v>101.38439282045911</v>
      </c>
      <c r="J10">
        <v>443.39337188307553</v>
      </c>
      <c r="K10">
        <v>16.543371533261933</v>
      </c>
      <c r="L10">
        <v>1182.8447303508256</v>
      </c>
      <c r="M10">
        <v>0.68969756955498118</v>
      </c>
      <c r="N10">
        <v>1042.613873279319</v>
      </c>
    </row>
    <row r="11" spans="1:14" x14ac:dyDescent="0.2">
      <c r="A11" s="205" t="s">
        <v>106</v>
      </c>
      <c r="B11">
        <v>4.0738027780411253E-2</v>
      </c>
      <c r="C11">
        <v>3.2934131736526949E-2</v>
      </c>
      <c r="D11">
        <v>8.25</v>
      </c>
      <c r="E11">
        <v>4.008</v>
      </c>
      <c r="F11">
        <v>1112.7850691152253</v>
      </c>
      <c r="G11">
        <v>251.12948338269163</v>
      </c>
      <c r="H11">
        <v>1099.4649847759897</v>
      </c>
      <c r="I11">
        <v>70.885888189862428</v>
      </c>
      <c r="J11">
        <v>491.10600886402187</v>
      </c>
      <c r="K11">
        <v>6.389267685656896</v>
      </c>
      <c r="L11">
        <v>1247.732492612043</v>
      </c>
      <c r="M11">
        <v>3.5841136583790769</v>
      </c>
      <c r="N11">
        <v>1163.1153180240428</v>
      </c>
    </row>
    <row r="12" spans="1:14" x14ac:dyDescent="0.2">
      <c r="A12" s="205" t="s">
        <v>109</v>
      </c>
      <c r="B12">
        <v>5.8884365535558779E-2</v>
      </c>
      <c r="C12">
        <v>1.4644351464435146E-2</v>
      </c>
      <c r="D12">
        <v>9.3333333333333339</v>
      </c>
      <c r="E12">
        <v>1.9119999999999999</v>
      </c>
      <c r="F12">
        <v>382.74455972646592</v>
      </c>
      <c r="G12">
        <v>95.210197859841514</v>
      </c>
      <c r="H12">
        <v>83.828499120810321</v>
      </c>
      <c r="I12">
        <v>14.228605847811668</v>
      </c>
      <c r="J12">
        <v>177.2117085205779</v>
      </c>
      <c r="K12">
        <v>13.977359362543515</v>
      </c>
      <c r="L12">
        <v>76.051344573766841</v>
      </c>
      <c r="M12" s="74">
        <v>0.01</v>
      </c>
      <c r="N12">
        <v>196.80765050898876</v>
      </c>
    </row>
    <row r="13" spans="1:14" x14ac:dyDescent="0.2">
      <c r="A13" s="205" t="s">
        <v>109</v>
      </c>
      <c r="B13">
        <v>0.31622776601683733</v>
      </c>
      <c r="C13">
        <v>3.5961640916355883E-2</v>
      </c>
      <c r="D13">
        <v>13.5</v>
      </c>
      <c r="E13">
        <v>0.75080000000000002</v>
      </c>
      <c r="F13">
        <v>273.70327860671688</v>
      </c>
      <c r="G13">
        <v>76.878331688055269</v>
      </c>
      <c r="H13">
        <v>36.90561113527621</v>
      </c>
      <c r="I13" s="74">
        <v>0.01</v>
      </c>
      <c r="J13">
        <v>185.48294851499756</v>
      </c>
      <c r="K13">
        <v>5.9007640202410734</v>
      </c>
      <c r="L13">
        <v>81.512896621800195</v>
      </c>
      <c r="M13">
        <v>2.9060381013884404</v>
      </c>
      <c r="N13">
        <v>243.13484915806131</v>
      </c>
    </row>
    <row r="14" spans="1:14" x14ac:dyDescent="0.2">
      <c r="A14" s="205" t="s">
        <v>109</v>
      </c>
      <c r="B14">
        <v>3.4673685045253172E-2</v>
      </c>
      <c r="C14">
        <v>1.6136261766024205E-2</v>
      </c>
      <c r="D14">
        <v>18</v>
      </c>
      <c r="E14">
        <v>2.2309999999999999</v>
      </c>
      <c r="F14">
        <v>275.81216627576225</v>
      </c>
      <c r="G14">
        <v>92.300098716683124</v>
      </c>
      <c r="H14">
        <v>80.991735537190095</v>
      </c>
      <c r="I14">
        <v>13.249961638790856</v>
      </c>
      <c r="J14">
        <v>157.31457183503733</v>
      </c>
      <c r="K14">
        <v>3.4001028395335209</v>
      </c>
      <c r="L14">
        <v>69.382641796524268</v>
      </c>
      <c r="M14">
        <v>0.77494349370358417</v>
      </c>
      <c r="N14">
        <v>238.41467368504524</v>
      </c>
    </row>
    <row r="15" spans="1:14" x14ac:dyDescent="0.2">
      <c r="A15" s="205" t="s">
        <v>270</v>
      </c>
      <c r="B15">
        <v>0.25118864315095779</v>
      </c>
      <c r="C15">
        <v>4.2061792597124503E-2</v>
      </c>
      <c r="D15">
        <v>7.8571428571428568</v>
      </c>
      <c r="E15">
        <v>6.5380000000000003</v>
      </c>
      <c r="F15">
        <v>421.74089610535339</v>
      </c>
      <c r="G15">
        <v>73.826619404587504</v>
      </c>
      <c r="H15">
        <v>117.0823156054133</v>
      </c>
      <c r="I15">
        <v>15.541342350423452</v>
      </c>
      <c r="J15">
        <v>98.831544636916732</v>
      </c>
      <c r="K15">
        <v>22.580694820869834</v>
      </c>
      <c r="L15">
        <v>104.5369364671419</v>
      </c>
      <c r="M15">
        <v>0.13831398612250556</v>
      </c>
      <c r="N15">
        <v>315.150491258344</v>
      </c>
    </row>
    <row r="16" spans="1:14" x14ac:dyDescent="0.2">
      <c r="A16" s="205" t="s">
        <v>110</v>
      </c>
      <c r="B16">
        <v>0.20892961308540389</v>
      </c>
      <c r="C16">
        <v>3.6637446617217358E-2</v>
      </c>
      <c r="D16">
        <v>9.0555555555555571</v>
      </c>
      <c r="E16">
        <v>4.4489999999999998</v>
      </c>
      <c r="F16">
        <v>129.26137519727158</v>
      </c>
      <c r="G16">
        <v>15.522682527521889</v>
      </c>
      <c r="H16">
        <v>44.38033029698353</v>
      </c>
      <c r="I16">
        <v>8.3033173846536528</v>
      </c>
      <c r="J16">
        <v>42.876114277136558</v>
      </c>
      <c r="K16">
        <v>19.495707505041018</v>
      </c>
      <c r="L16">
        <v>45.668162762036026</v>
      </c>
      <c r="M16">
        <v>1.2999535342397457E-2</v>
      </c>
      <c r="N16">
        <v>80.275484903459301</v>
      </c>
    </row>
    <row r="17" spans="1:14" x14ac:dyDescent="0.2">
      <c r="A17" s="205" t="s">
        <v>110</v>
      </c>
      <c r="B17">
        <v>7.5857757502918149E-2</v>
      </c>
      <c r="C17">
        <v>5.1103843008994274E-2</v>
      </c>
      <c r="D17">
        <v>10.416666666666666</v>
      </c>
      <c r="E17">
        <v>2.4460000000000002</v>
      </c>
      <c r="F17">
        <v>95.741304456310189</v>
      </c>
      <c r="G17">
        <v>25.508144126357351</v>
      </c>
      <c r="H17">
        <v>5.6416702914310575</v>
      </c>
      <c r="I17" s="74">
        <v>0.01</v>
      </c>
      <c r="J17">
        <v>42.559375099538507</v>
      </c>
      <c r="K17">
        <v>8.4695265974434051</v>
      </c>
      <c r="L17">
        <v>51.583306216027864</v>
      </c>
      <c r="M17">
        <v>3.4872457216661288</v>
      </c>
      <c r="N17">
        <v>99.856999976865978</v>
      </c>
    </row>
    <row r="18" spans="1:14" x14ac:dyDescent="0.2">
      <c r="A18" s="205" t="s">
        <v>110</v>
      </c>
      <c r="B18">
        <v>0.15488166189124805</v>
      </c>
      <c r="C18">
        <v>3.528336380255942E-2</v>
      </c>
      <c r="D18">
        <v>10.157894736842106</v>
      </c>
      <c r="E18">
        <v>5.47</v>
      </c>
      <c r="F18">
        <v>107.49039373222216</v>
      </c>
      <c r="G18">
        <v>43.279039157617639</v>
      </c>
      <c r="H18">
        <v>64.071335363201413</v>
      </c>
      <c r="I18">
        <v>10.631169761137539</v>
      </c>
      <c r="J18">
        <v>36.48013458885567</v>
      </c>
      <c r="K18">
        <v>7.2860873576819589</v>
      </c>
      <c r="L18">
        <v>48.675016258210107</v>
      </c>
      <c r="M18">
        <v>0.58120762027768813</v>
      </c>
      <c r="N18">
        <v>81.534881661891248</v>
      </c>
    </row>
    <row r="19" spans="1:14" x14ac:dyDescent="0.2">
      <c r="A19" s="205" t="s">
        <v>111</v>
      </c>
      <c r="B19">
        <v>1.5848931924611134E-2</v>
      </c>
      <c r="C19">
        <v>2.0987174504469491E-2</v>
      </c>
      <c r="D19">
        <v>14.727272727272728</v>
      </c>
      <c r="E19">
        <v>7.7190000000000003</v>
      </c>
      <c r="F19">
        <v>1569.5513103341766</v>
      </c>
      <c r="G19">
        <v>389.151183090291</v>
      </c>
      <c r="H19">
        <v>688.4013599815454</v>
      </c>
      <c r="I19">
        <v>63.287763042585624</v>
      </c>
      <c r="J19">
        <v>149.72092421819798</v>
      </c>
      <c r="K19">
        <v>13.778463794285559</v>
      </c>
      <c r="L19">
        <v>374.51644392192884</v>
      </c>
      <c r="M19">
        <v>1.2999535342397457E-2</v>
      </c>
      <c r="N19">
        <v>1500.9347710876136</v>
      </c>
    </row>
    <row r="20" spans="1:14" x14ac:dyDescent="0.2">
      <c r="A20" s="205" t="s">
        <v>111</v>
      </c>
      <c r="B20">
        <v>5.3703179637025322E-3</v>
      </c>
      <c r="C20">
        <v>2.5337014779925289E-2</v>
      </c>
      <c r="D20">
        <v>14.181818181818183</v>
      </c>
      <c r="E20">
        <v>6.157</v>
      </c>
      <c r="F20">
        <v>1149.4086531264034</v>
      </c>
      <c r="G20">
        <v>308.51678183613029</v>
      </c>
      <c r="H20">
        <v>565.77642453240537</v>
      </c>
      <c r="I20">
        <v>30.132729783642784</v>
      </c>
      <c r="J20">
        <v>168.43158996374322</v>
      </c>
      <c r="K20">
        <v>3.2254578940662864</v>
      </c>
      <c r="L20">
        <v>407.19831325594726</v>
      </c>
      <c r="M20">
        <v>4.1653212786567648</v>
      </c>
      <c r="N20">
        <v>1721.5661790486645</v>
      </c>
    </row>
    <row r="21" spans="1:14" x14ac:dyDescent="0.2">
      <c r="A21" s="205" t="s">
        <v>111</v>
      </c>
      <c r="B21">
        <v>1.4791083881682026E-2</v>
      </c>
      <c r="C21">
        <v>2.1242937853107345E-2</v>
      </c>
      <c r="D21">
        <v>15.666666666666666</v>
      </c>
      <c r="E21">
        <v>8.85</v>
      </c>
      <c r="F21">
        <v>1133.9887219921152</v>
      </c>
      <c r="G21">
        <v>287.5123395853899</v>
      </c>
      <c r="H21">
        <v>422.00956937799043</v>
      </c>
      <c r="I21">
        <v>43.757352565086194</v>
      </c>
      <c r="J21">
        <v>152.86881727175142</v>
      </c>
      <c r="K21">
        <v>0.80636447351657159</v>
      </c>
      <c r="L21">
        <v>336.93750469142407</v>
      </c>
      <c r="M21">
        <v>0.67807555699063615</v>
      </c>
      <c r="N21">
        <v>1748.3947910838817</v>
      </c>
    </row>
    <row r="22" spans="1:14" x14ac:dyDescent="0.2">
      <c r="A22" s="205" t="s">
        <v>125</v>
      </c>
      <c r="B22">
        <v>0.41686938347033492</v>
      </c>
      <c r="C22">
        <v>6.3306615948919995E-2</v>
      </c>
      <c r="D22">
        <v>7.0606060606060606</v>
      </c>
      <c r="E22">
        <v>7.3609999999999998</v>
      </c>
      <c r="F22">
        <v>251.67722940266481</v>
      </c>
      <c r="G22">
        <v>82.999341888779199</v>
      </c>
      <c r="H22">
        <v>67.407133536320146</v>
      </c>
      <c r="I22" s="74">
        <v>0.01</v>
      </c>
      <c r="J22">
        <v>100.10462210786241</v>
      </c>
      <c r="K22">
        <v>6.7958665448952162</v>
      </c>
      <c r="L22">
        <v>95.127004575057242</v>
      </c>
      <c r="M22">
        <v>3.4872457216661288</v>
      </c>
      <c r="N22">
        <v>233.47214307634141</v>
      </c>
    </row>
    <row r="23" spans="1:14" x14ac:dyDescent="0.2">
      <c r="A23" s="205" t="s">
        <v>124</v>
      </c>
      <c r="B23">
        <v>0.25118864315095779</v>
      </c>
      <c r="C23">
        <v>5.4794520547945209E-2</v>
      </c>
      <c r="D23">
        <v>7.7777777777777795</v>
      </c>
      <c r="E23">
        <v>10.220000000000001</v>
      </c>
      <c r="F23">
        <v>143.6952941763561</v>
      </c>
      <c r="G23">
        <v>53.827739387956562</v>
      </c>
      <c r="H23">
        <v>45.622009569377994</v>
      </c>
      <c r="I23" s="74">
        <v>0.01</v>
      </c>
      <c r="J23">
        <v>49.480821892211871</v>
      </c>
      <c r="K23">
        <v>5.0734023127262207</v>
      </c>
      <c r="L23">
        <v>89.938726490472519</v>
      </c>
      <c r="M23">
        <v>3.8747174685179204</v>
      </c>
      <c r="N23">
        <v>299.15707062650324</v>
      </c>
    </row>
    <row r="24" spans="1:14" x14ac:dyDescent="0.2">
      <c r="A24" s="205" t="s">
        <v>147</v>
      </c>
      <c r="B24">
        <v>2.7542287033381663</v>
      </c>
      <c r="C24">
        <v>4.4159999999999998E-2</v>
      </c>
      <c r="D24">
        <v>7.2631578947368416</v>
      </c>
      <c r="E24">
        <v>18.75</v>
      </c>
      <c r="F24">
        <v>153.15135485802682</v>
      </c>
      <c r="G24">
        <v>54.647910496873969</v>
      </c>
      <c r="H24">
        <v>80.382775119617236</v>
      </c>
      <c r="I24">
        <v>10.482839752442331</v>
      </c>
      <c r="J24">
        <v>55.773810588538126</v>
      </c>
      <c r="K24">
        <v>2.3302985056023502</v>
      </c>
      <c r="L24">
        <v>66.784560978286862</v>
      </c>
      <c r="M24">
        <v>0.96867936712948011</v>
      </c>
      <c r="N24">
        <v>101.13422870333817</v>
      </c>
    </row>
    <row r="25" spans="1:14" x14ac:dyDescent="0.2">
      <c r="A25" s="205" t="s">
        <v>107</v>
      </c>
      <c r="B25">
        <v>0.56234132519034874</v>
      </c>
      <c r="C25">
        <v>4.4406377651864538E-2</v>
      </c>
      <c r="D25">
        <v>7.6590909090909101</v>
      </c>
      <c r="E25">
        <v>7.5890000000000004</v>
      </c>
      <c r="F25">
        <v>271.88352409040209</v>
      </c>
      <c r="G25">
        <v>64.691693571866722</v>
      </c>
      <c r="H25">
        <v>333.11188064302786</v>
      </c>
      <c r="I25">
        <v>20.323223684205537</v>
      </c>
      <c r="J25">
        <v>55.571750129536277</v>
      </c>
      <c r="K25">
        <v>12.372140543229138</v>
      </c>
      <c r="L25">
        <v>309.12904511492502</v>
      </c>
      <c r="M25">
        <v>6.3125315654440697E-2</v>
      </c>
      <c r="N25">
        <v>190.72396207725149</v>
      </c>
    </row>
    <row r="26" spans="1:14" x14ac:dyDescent="0.2">
      <c r="A26" s="205" t="s">
        <v>107</v>
      </c>
      <c r="B26">
        <v>0.40738027780411229</v>
      </c>
      <c r="C26">
        <v>5.1406597854685286E-2</v>
      </c>
      <c r="D26">
        <v>7.6969696969696964</v>
      </c>
      <c r="E26">
        <v>4.9409999999999998</v>
      </c>
      <c r="F26">
        <v>245.22930285942414</v>
      </c>
      <c r="G26">
        <v>74.392810134912793</v>
      </c>
      <c r="H26">
        <v>327.62374945628534</v>
      </c>
      <c r="I26" s="74">
        <v>0.01</v>
      </c>
      <c r="J26">
        <v>55.60187943892879</v>
      </c>
      <c r="K26">
        <v>5.3178850800380157</v>
      </c>
      <c r="L26">
        <v>374.0111189074662</v>
      </c>
      <c r="M26">
        <v>3.971585405230869</v>
      </c>
      <c r="N26">
        <v>962.2382365612599</v>
      </c>
    </row>
    <row r="27" spans="1:14" x14ac:dyDescent="0.2">
      <c r="A27" s="205" t="s">
        <v>107</v>
      </c>
      <c r="B27">
        <v>0.61659500186148142</v>
      </c>
      <c r="C27">
        <v>3.9713639788997744E-2</v>
      </c>
      <c r="D27">
        <v>8.234375</v>
      </c>
      <c r="E27">
        <v>13.27</v>
      </c>
      <c r="F27">
        <v>185.93742202704723</v>
      </c>
      <c r="G27">
        <v>69.151036525172756</v>
      </c>
      <c r="H27">
        <v>192.30100043497174</v>
      </c>
      <c r="I27">
        <v>19.794383918981129</v>
      </c>
      <c r="J27">
        <v>59.436735615443951</v>
      </c>
      <c r="K27">
        <v>4.4001622629960915</v>
      </c>
      <c r="L27">
        <v>178.11220590938063</v>
      </c>
      <c r="M27">
        <v>2.2279625443978044</v>
      </c>
      <c r="N27">
        <v>198.99659500186146</v>
      </c>
    </row>
    <row r="28" spans="1:14" x14ac:dyDescent="0.2">
      <c r="A28" s="205" t="s">
        <v>144</v>
      </c>
      <c r="B28">
        <v>1.5135612484362029E-2</v>
      </c>
      <c r="C28">
        <v>1.1695906432748538E-3</v>
      </c>
      <c r="D28">
        <v>4</v>
      </c>
      <c r="E28">
        <v>1.71</v>
      </c>
      <c r="F28">
        <v>1193.6723389390688</v>
      </c>
      <c r="G28">
        <v>182.13228035538003</v>
      </c>
      <c r="H28">
        <v>61.983471074380176</v>
      </c>
      <c r="I28">
        <v>55.958774487238507</v>
      </c>
      <c r="J28">
        <v>131.62099589917275</v>
      </c>
      <c r="K28">
        <v>2.3286925372691916</v>
      </c>
      <c r="L28">
        <v>17.645788167612437</v>
      </c>
      <c r="M28">
        <v>0.58120762027768813</v>
      </c>
      <c r="N28">
        <v>1608.3951356124844</v>
      </c>
    </row>
    <row r="29" spans="1:14" x14ac:dyDescent="0.2">
      <c r="A29" s="292" t="s">
        <v>108</v>
      </c>
      <c r="B29">
        <v>5.2480746024977189E-2</v>
      </c>
      <c r="C29">
        <v>3.9568345323741004E-2</v>
      </c>
      <c r="D29">
        <v>6.53125</v>
      </c>
      <c r="E29">
        <v>5.282</v>
      </c>
      <c r="F29">
        <v>1654.531163637108</v>
      </c>
      <c r="G29">
        <v>466.97046234872317</v>
      </c>
      <c r="H29">
        <v>865.37209221349849</v>
      </c>
      <c r="I29">
        <v>93.762091824651847</v>
      </c>
      <c r="J29">
        <v>392.22092432931862</v>
      </c>
      <c r="K29">
        <v>38.364176324307188</v>
      </c>
      <c r="L29">
        <v>709.07492764518429</v>
      </c>
      <c r="M29">
        <v>2.9704205737529485</v>
      </c>
      <c r="N29">
        <v>1345.4488349542421</v>
      </c>
    </row>
    <row r="30" spans="1:14" x14ac:dyDescent="0.2">
      <c r="A30" s="292" t="s">
        <v>108</v>
      </c>
      <c r="B30">
        <v>7.7624711662868925E-2</v>
      </c>
      <c r="C30">
        <v>4.9142327306444133E-2</v>
      </c>
      <c r="D30">
        <v>6.838709677419355</v>
      </c>
      <c r="E30">
        <v>4.3140000000000001</v>
      </c>
      <c r="F30">
        <v>1421.3184290633264</v>
      </c>
      <c r="G30">
        <v>433.53158933859822</v>
      </c>
      <c r="H30">
        <v>695.06742061765988</v>
      </c>
      <c r="I30">
        <v>66.466165413533844</v>
      </c>
      <c r="J30">
        <v>369.33701827198752</v>
      </c>
      <c r="K30">
        <v>19.673549839476511</v>
      </c>
      <c r="L30">
        <v>586.70436538593685</v>
      </c>
      <c r="M30">
        <v>5.230868582499193</v>
      </c>
      <c r="N30">
        <v>1944.3693087861907</v>
      </c>
    </row>
    <row r="31" spans="1:14" x14ac:dyDescent="0.2">
      <c r="A31" s="205" t="s">
        <v>108</v>
      </c>
      <c r="B31">
        <v>4.3651583224016563E-2</v>
      </c>
      <c r="C31">
        <v>3.0033557046979863E-2</v>
      </c>
      <c r="D31">
        <v>9.9444444444444446</v>
      </c>
      <c r="E31">
        <v>5.96</v>
      </c>
      <c r="F31">
        <v>1206.0981086880581</v>
      </c>
      <c r="G31">
        <v>319.84205330700888</v>
      </c>
      <c r="H31">
        <v>391.43105698129625</v>
      </c>
      <c r="I31">
        <v>69.51051097130582</v>
      </c>
      <c r="J31">
        <v>216.62097908431423</v>
      </c>
      <c r="K31">
        <v>26.028999637903688</v>
      </c>
      <c r="L31">
        <v>429.55169537215397</v>
      </c>
      <c r="M31">
        <v>6.4901517597675173</v>
      </c>
      <c r="N31">
        <v>1608.4236515832242</v>
      </c>
    </row>
    <row r="32" spans="1:14" x14ac:dyDescent="0.2">
      <c r="A32" s="205" t="s">
        <v>104</v>
      </c>
      <c r="B32">
        <v>4.1686938347033513E-2</v>
      </c>
      <c r="C32">
        <v>3.2924187725631771E-2</v>
      </c>
      <c r="D32">
        <v>0.81428571428571428</v>
      </c>
      <c r="E32">
        <v>6.9249999999999998</v>
      </c>
      <c r="F32">
        <v>1249.3275662977035</v>
      </c>
      <c r="G32">
        <v>453.49622774933027</v>
      </c>
      <c r="H32">
        <v>914.75789999890128</v>
      </c>
      <c r="I32">
        <v>124.90022645860535</v>
      </c>
      <c r="J32">
        <v>279.4694203037501</v>
      </c>
      <c r="K32">
        <v>113.02145967011192</v>
      </c>
      <c r="L32">
        <v>983.78169547252264</v>
      </c>
      <c r="M32">
        <v>0.51425733846282995</v>
      </c>
      <c r="N32">
        <v>885.03333935433432</v>
      </c>
    </row>
    <row r="33" spans="1:14" x14ac:dyDescent="0.2">
      <c r="A33" s="205" t="s">
        <v>104</v>
      </c>
      <c r="B33">
        <v>3.4673685045253172E-2</v>
      </c>
      <c r="C33">
        <v>4.1576906505816455E-2</v>
      </c>
      <c r="D33">
        <v>8.0416666666666661</v>
      </c>
      <c r="E33">
        <v>4.6420000000000003</v>
      </c>
      <c r="F33">
        <v>918.02485153949783</v>
      </c>
      <c r="G33">
        <v>340.93205001645276</v>
      </c>
      <c r="H33">
        <v>795.0369725967812</v>
      </c>
      <c r="I33">
        <v>69.06015037593987</v>
      </c>
      <c r="J33">
        <v>332.18261227149611</v>
      </c>
      <c r="K33">
        <v>92.552969827987596</v>
      </c>
      <c r="L33">
        <v>927.96246277068872</v>
      </c>
      <c r="M33">
        <v>4.2621892153697125</v>
      </c>
      <c r="N33">
        <v>952.6626672490155</v>
      </c>
    </row>
    <row r="34" spans="1:14" x14ac:dyDescent="0.2">
      <c r="A34" s="205" t="s">
        <v>104</v>
      </c>
      <c r="B34">
        <v>6.6069344800759433E-2</v>
      </c>
      <c r="C34">
        <v>3.6546610169491525E-2</v>
      </c>
      <c r="D34">
        <v>8.8461538461538449</v>
      </c>
      <c r="E34">
        <v>9.44</v>
      </c>
      <c r="F34">
        <v>827.28679075802177</v>
      </c>
      <c r="G34">
        <v>261.92826587693321</v>
      </c>
      <c r="H34">
        <v>457.80774249673777</v>
      </c>
      <c r="I34">
        <v>84.241215283105731</v>
      </c>
      <c r="J34">
        <v>248.57582620458192</v>
      </c>
      <c r="K34">
        <v>109.81236757878384</v>
      </c>
      <c r="L34">
        <v>611.53898799240415</v>
      </c>
      <c r="M34">
        <v>6.5870196964804641</v>
      </c>
      <c r="N34">
        <v>968.44606934480078</v>
      </c>
    </row>
    <row r="37" spans="1:14" x14ac:dyDescent="0.2">
      <c r="B37" t="s">
        <v>95</v>
      </c>
      <c r="C37" t="s">
        <v>130</v>
      </c>
      <c r="D37" t="s">
        <v>131</v>
      </c>
      <c r="E37" t="s">
        <v>28</v>
      </c>
      <c r="F37" t="s">
        <v>136</v>
      </c>
      <c r="G37" t="s">
        <v>137</v>
      </c>
      <c r="H37" t="s">
        <v>138</v>
      </c>
      <c r="I37" t="s">
        <v>139</v>
      </c>
      <c r="J37" t="s">
        <v>140</v>
      </c>
      <c r="K37" t="s">
        <v>141</v>
      </c>
      <c r="L37" t="s">
        <v>142</v>
      </c>
      <c r="M37" t="s">
        <v>34</v>
      </c>
    </row>
    <row r="38" spans="1:14" x14ac:dyDescent="0.2">
      <c r="A38" t="s">
        <v>130</v>
      </c>
      <c r="B38" s="114">
        <v>0.23899999999999999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4" x14ac:dyDescent="0.2">
      <c r="B39" s="114">
        <v>0.18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4" x14ac:dyDescent="0.2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4" x14ac:dyDescent="0.2">
      <c r="A41" t="s">
        <v>131</v>
      </c>
      <c r="B41" s="114">
        <v>-7.9000000000000001E-2</v>
      </c>
      <c r="C41" s="114">
        <v>-0.17399999999999999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4" x14ac:dyDescent="0.2">
      <c r="B42" s="114">
        <v>0.66300000000000003</v>
      </c>
      <c r="C42" s="114">
        <v>0.33300000000000002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4" x14ac:dyDescent="0.2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4" x14ac:dyDescent="0.2">
      <c r="A44" t="s">
        <v>28</v>
      </c>
      <c r="B44" s="114">
        <v>0.69699999999999995</v>
      </c>
      <c r="C44" s="114">
        <v>0.22700000000000001</v>
      </c>
      <c r="D44" s="114">
        <v>-4.4999999999999998E-2</v>
      </c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4" x14ac:dyDescent="0.2">
      <c r="B45" s="114">
        <v>0</v>
      </c>
      <c r="C45" s="114">
        <v>0.20499999999999999</v>
      </c>
      <c r="D45" s="114">
        <v>0.80400000000000005</v>
      </c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4" x14ac:dyDescent="0.2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  <row r="47" spans="1:14" x14ac:dyDescent="0.2">
      <c r="A47" t="s">
        <v>136</v>
      </c>
      <c r="B47" s="114">
        <v>-0.375</v>
      </c>
      <c r="C47" s="114">
        <v>-0.38400000000000001</v>
      </c>
      <c r="D47" s="114">
        <v>0.25600000000000001</v>
      </c>
      <c r="E47" s="114">
        <v>-8.3000000000000004E-2</v>
      </c>
      <c r="F47" s="114"/>
      <c r="G47" s="114"/>
      <c r="H47" s="114"/>
      <c r="I47" s="114"/>
      <c r="J47" s="114"/>
      <c r="K47" s="114"/>
      <c r="L47" s="114"/>
      <c r="M47" s="114"/>
    </row>
    <row r="48" spans="1:14" x14ac:dyDescent="0.2">
      <c r="B48" s="114">
        <v>3.2000000000000001E-2</v>
      </c>
      <c r="C48" s="114">
        <v>2.7E-2</v>
      </c>
      <c r="D48" s="114">
        <v>0.151</v>
      </c>
      <c r="E48" s="114">
        <v>0.64600000000000002</v>
      </c>
      <c r="F48" s="114"/>
      <c r="G48" s="114"/>
      <c r="H48" s="114"/>
      <c r="I48" s="114"/>
      <c r="J48" s="114"/>
      <c r="K48" s="114"/>
      <c r="L48" s="114"/>
      <c r="M48" s="114"/>
    </row>
    <row r="49" spans="1:13" x14ac:dyDescent="0.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x14ac:dyDescent="0.2">
      <c r="A50" t="s">
        <v>137</v>
      </c>
      <c r="B50" s="114">
        <v>-0.34200000000000003</v>
      </c>
      <c r="C50" s="114">
        <v>-0.24099999999999999</v>
      </c>
      <c r="D50" s="114">
        <v>0.158</v>
      </c>
      <c r="E50" s="114">
        <v>-2.5000000000000001E-2</v>
      </c>
      <c r="F50" s="114">
        <v>0.94799999999999995</v>
      </c>
      <c r="G50" s="114"/>
      <c r="H50" s="114"/>
      <c r="I50" s="114"/>
      <c r="J50" s="114"/>
      <c r="K50" s="114"/>
      <c r="L50" s="114"/>
      <c r="M50" s="114"/>
    </row>
    <row r="51" spans="1:13" x14ac:dyDescent="0.2">
      <c r="B51" s="114">
        <v>5.0999999999999997E-2</v>
      </c>
      <c r="C51" s="114">
        <v>0.17699999999999999</v>
      </c>
      <c r="D51" s="114">
        <v>0.378</v>
      </c>
      <c r="E51" s="114">
        <v>0.89</v>
      </c>
      <c r="F51" s="114">
        <v>0</v>
      </c>
      <c r="G51" s="114"/>
      <c r="H51" s="114"/>
      <c r="I51" s="114"/>
      <c r="J51" s="114"/>
      <c r="K51" s="114"/>
      <c r="L51" s="114"/>
      <c r="M51" s="114"/>
    </row>
    <row r="52" spans="1:13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x14ac:dyDescent="0.2">
      <c r="A53" t="s">
        <v>138</v>
      </c>
      <c r="B53" s="114">
        <v>-0.30099999999999999</v>
      </c>
      <c r="C53" s="114">
        <v>-9.1999999999999998E-2</v>
      </c>
      <c r="D53" s="114">
        <v>0.38300000000000001</v>
      </c>
      <c r="E53" s="114">
        <v>-1.4999999999999999E-2</v>
      </c>
      <c r="F53" s="204">
        <v>0.80100000000000005</v>
      </c>
      <c r="G53" s="204">
        <v>0.81499999999999995</v>
      </c>
      <c r="H53" s="114"/>
      <c r="I53" s="114"/>
      <c r="J53" s="114"/>
      <c r="K53" s="114"/>
      <c r="L53" s="114"/>
      <c r="M53" s="114"/>
    </row>
    <row r="54" spans="1:13" x14ac:dyDescent="0.2">
      <c r="B54" s="114">
        <v>8.8999999999999996E-2</v>
      </c>
      <c r="C54" s="114">
        <v>0.61099999999999999</v>
      </c>
      <c r="D54" s="114">
        <v>2.8000000000000001E-2</v>
      </c>
      <c r="E54" s="114">
        <v>0.93300000000000005</v>
      </c>
      <c r="F54" s="141">
        <v>0</v>
      </c>
      <c r="G54" s="141">
        <v>0</v>
      </c>
      <c r="H54" s="114"/>
      <c r="I54" s="114"/>
      <c r="J54" s="114"/>
      <c r="K54" s="114"/>
      <c r="L54" s="114"/>
      <c r="M54" s="114"/>
    </row>
    <row r="55" spans="1:13" x14ac:dyDescent="0.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  <row r="56" spans="1:13" x14ac:dyDescent="0.2">
      <c r="A56" t="s">
        <v>139</v>
      </c>
      <c r="B56" s="114">
        <v>-0.314</v>
      </c>
      <c r="C56" s="114">
        <v>-0.30299999999999999</v>
      </c>
      <c r="D56" s="114">
        <v>0.30299999999999999</v>
      </c>
      <c r="E56" s="114">
        <v>0.03</v>
      </c>
      <c r="F56" s="204">
        <v>0.872</v>
      </c>
      <c r="G56" s="204">
        <v>0.88700000000000001</v>
      </c>
      <c r="H56" s="204">
        <v>0.84899999999999998</v>
      </c>
      <c r="I56" s="114"/>
      <c r="J56" s="114"/>
      <c r="K56" s="114"/>
      <c r="L56" s="114"/>
      <c r="M56" s="114"/>
    </row>
    <row r="57" spans="1:13" x14ac:dyDescent="0.2">
      <c r="B57" s="114">
        <v>7.5999999999999998E-2</v>
      </c>
      <c r="C57" s="114">
        <v>8.5999999999999993E-2</v>
      </c>
      <c r="D57" s="114">
        <v>8.5999999999999993E-2</v>
      </c>
      <c r="E57" s="114">
        <v>0.86899999999999999</v>
      </c>
      <c r="F57" s="141">
        <v>0</v>
      </c>
      <c r="G57" s="141">
        <v>0</v>
      </c>
      <c r="H57" s="141">
        <v>0</v>
      </c>
      <c r="I57" s="114"/>
      <c r="J57" s="114"/>
      <c r="K57" s="114"/>
      <c r="L57" s="114"/>
      <c r="M57" s="114"/>
    </row>
    <row r="58" spans="1:13" x14ac:dyDescent="0.2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</row>
    <row r="59" spans="1:13" x14ac:dyDescent="0.2">
      <c r="A59" t="s">
        <v>140</v>
      </c>
      <c r="B59" s="114">
        <v>-0.33500000000000002</v>
      </c>
      <c r="C59" s="114">
        <v>-0.16600000000000001</v>
      </c>
      <c r="D59" s="114">
        <v>0.32500000000000001</v>
      </c>
      <c r="E59" s="114">
        <v>-0.17499999999999999</v>
      </c>
      <c r="F59" s="114">
        <v>0.75</v>
      </c>
      <c r="G59" s="114">
        <v>0.73799999999999999</v>
      </c>
      <c r="H59" s="204">
        <v>0.88</v>
      </c>
      <c r="I59" s="114">
        <v>0.79200000000000004</v>
      </c>
      <c r="J59" s="114"/>
      <c r="K59" s="114"/>
      <c r="L59" s="114"/>
      <c r="M59" s="114"/>
    </row>
    <row r="60" spans="1:13" x14ac:dyDescent="0.2">
      <c r="B60" s="114">
        <v>5.6000000000000001E-2</v>
      </c>
      <c r="C60" s="114">
        <v>0.35499999999999998</v>
      </c>
      <c r="D60" s="114">
        <v>6.5000000000000002E-2</v>
      </c>
      <c r="E60" s="114">
        <v>0.32900000000000001</v>
      </c>
      <c r="F60" s="114">
        <v>0</v>
      </c>
      <c r="G60" s="114">
        <v>0</v>
      </c>
      <c r="H60" s="141">
        <v>0</v>
      </c>
      <c r="I60" s="114">
        <v>0</v>
      </c>
      <c r="J60" s="114"/>
      <c r="K60" s="114"/>
      <c r="L60" s="114"/>
      <c r="M60" s="114"/>
    </row>
    <row r="61" spans="1:13" x14ac:dyDescent="0.2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x14ac:dyDescent="0.2">
      <c r="A62" t="s">
        <v>141</v>
      </c>
      <c r="B62" s="114">
        <v>-0.217</v>
      </c>
      <c r="C62" s="114">
        <v>0.112</v>
      </c>
      <c r="D62" s="114">
        <v>-6.4000000000000001E-2</v>
      </c>
      <c r="E62" s="114">
        <v>7.5999999999999998E-2</v>
      </c>
      <c r="F62" s="114">
        <v>0.33800000000000002</v>
      </c>
      <c r="G62" s="114">
        <v>0.501</v>
      </c>
      <c r="H62" s="114">
        <v>0.443</v>
      </c>
      <c r="I62" s="114">
        <v>0.62</v>
      </c>
      <c r="J62" s="114">
        <v>0.43</v>
      </c>
      <c r="K62" s="114"/>
      <c r="L62" s="114"/>
      <c r="M62" s="114"/>
    </row>
    <row r="63" spans="1:13" x14ac:dyDescent="0.2">
      <c r="B63" s="114">
        <v>0.22600000000000001</v>
      </c>
      <c r="C63" s="114">
        <v>0.53400000000000003</v>
      </c>
      <c r="D63" s="114">
        <v>0.72299999999999998</v>
      </c>
      <c r="E63" s="114">
        <v>0.67400000000000004</v>
      </c>
      <c r="F63" s="114">
        <v>5.5E-2</v>
      </c>
      <c r="G63" s="114">
        <v>3.0000000000000001E-3</v>
      </c>
      <c r="H63" s="114">
        <v>0.01</v>
      </c>
      <c r="I63" s="114">
        <v>0</v>
      </c>
      <c r="J63" s="114">
        <v>1.2999999999999999E-2</v>
      </c>
      <c r="K63" s="114"/>
      <c r="L63" s="114"/>
      <c r="M63" s="114"/>
    </row>
    <row r="64" spans="1:13" x14ac:dyDescent="0.2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 x14ac:dyDescent="0.2">
      <c r="A65" t="s">
        <v>142</v>
      </c>
      <c r="B65" s="114">
        <v>-0.28899999999999998</v>
      </c>
      <c r="C65" s="114">
        <v>-2.9000000000000001E-2</v>
      </c>
      <c r="D65" s="114">
        <v>0.36</v>
      </c>
      <c r="E65" s="114">
        <v>-2.9000000000000001E-2</v>
      </c>
      <c r="F65" s="114">
        <v>0.68899999999999995</v>
      </c>
      <c r="G65" s="114">
        <v>0.71599999999999997</v>
      </c>
      <c r="H65" s="204">
        <v>0.96599999999999997</v>
      </c>
      <c r="I65" s="204">
        <v>0.81799999999999995</v>
      </c>
      <c r="J65" s="204">
        <v>0.90400000000000003</v>
      </c>
      <c r="K65" s="114">
        <v>0.52100000000000002</v>
      </c>
      <c r="L65" s="114"/>
      <c r="M65" s="114"/>
    </row>
    <row r="66" spans="1:13" x14ac:dyDescent="0.2">
      <c r="B66" s="114">
        <v>0.10199999999999999</v>
      </c>
      <c r="C66" s="114">
        <v>0.873</v>
      </c>
      <c r="D66" s="114">
        <v>0.04</v>
      </c>
      <c r="E66" s="114">
        <v>0.871</v>
      </c>
      <c r="F66" s="114">
        <v>0</v>
      </c>
      <c r="G66" s="114">
        <v>0</v>
      </c>
      <c r="H66" s="141">
        <v>0</v>
      </c>
      <c r="I66" s="141">
        <v>0</v>
      </c>
      <c r="J66" s="141">
        <v>0</v>
      </c>
      <c r="K66" s="114">
        <v>2E-3</v>
      </c>
      <c r="L66" s="114"/>
      <c r="M66" s="114"/>
    </row>
    <row r="67" spans="1:13" x14ac:dyDescent="0.2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13" x14ac:dyDescent="0.2">
      <c r="A68" t="s">
        <v>34</v>
      </c>
      <c r="B68" s="114">
        <v>-0.108</v>
      </c>
      <c r="C68" s="114">
        <v>0.32700000000000001</v>
      </c>
      <c r="D68" s="114">
        <v>-0.14299999999999999</v>
      </c>
      <c r="E68" s="114">
        <v>-5.2999999999999999E-2</v>
      </c>
      <c r="F68" s="114">
        <v>0.124</v>
      </c>
      <c r="G68" s="114">
        <v>0.23499999999999999</v>
      </c>
      <c r="H68" s="114">
        <v>0.11</v>
      </c>
      <c r="I68" s="114">
        <v>7.9000000000000001E-2</v>
      </c>
      <c r="J68" s="114">
        <v>0.19400000000000001</v>
      </c>
      <c r="K68" s="114">
        <v>0.19600000000000001</v>
      </c>
      <c r="L68" s="114">
        <v>0.17799999999999999</v>
      </c>
      <c r="M68" s="114"/>
    </row>
    <row r="69" spans="1:13" x14ac:dyDescent="0.2">
      <c r="B69" s="114">
        <v>0.54900000000000004</v>
      </c>
      <c r="C69" s="114">
        <v>6.3E-2</v>
      </c>
      <c r="D69" s="114">
        <v>0.42799999999999999</v>
      </c>
      <c r="E69" s="114">
        <v>0.77</v>
      </c>
      <c r="F69" s="114">
        <v>0.49299999999999999</v>
      </c>
      <c r="G69" s="114">
        <v>0.189</v>
      </c>
      <c r="H69" s="114">
        <v>0.54400000000000004</v>
      </c>
      <c r="I69" s="114">
        <v>0.66200000000000003</v>
      </c>
      <c r="J69" s="114">
        <v>0.27900000000000003</v>
      </c>
      <c r="K69" s="114">
        <v>0.27500000000000002</v>
      </c>
      <c r="L69" s="114">
        <v>0.32200000000000001</v>
      </c>
      <c r="M69" s="114"/>
    </row>
    <row r="70" spans="1:13" x14ac:dyDescent="0.2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x14ac:dyDescent="0.2">
      <c r="A71" t="s">
        <v>135</v>
      </c>
      <c r="B71" s="114">
        <v>-0.33400000000000002</v>
      </c>
      <c r="C71" s="114">
        <v>-0.40300000000000002</v>
      </c>
      <c r="D71" s="114">
        <v>0.104</v>
      </c>
      <c r="E71" s="114">
        <v>-7.6999999999999999E-2</v>
      </c>
      <c r="F71" s="204">
        <v>0.878</v>
      </c>
      <c r="G71" s="204">
        <v>0.81699999999999995</v>
      </c>
      <c r="H71" s="114">
        <v>0.58699999999999997</v>
      </c>
      <c r="I71" s="114">
        <v>0.64800000000000002</v>
      </c>
      <c r="J71" s="114">
        <v>0.54500000000000004</v>
      </c>
      <c r="K71" s="114">
        <v>0.13300000000000001</v>
      </c>
      <c r="L71" s="114">
        <v>0.48599999999999999</v>
      </c>
      <c r="M71" s="114">
        <v>0.33100000000000002</v>
      </c>
    </row>
    <row r="72" spans="1:13" x14ac:dyDescent="0.2">
      <c r="B72" s="114">
        <v>5.8000000000000003E-2</v>
      </c>
      <c r="C72" s="114">
        <v>0.02</v>
      </c>
      <c r="D72" s="114">
        <v>0.56599999999999995</v>
      </c>
      <c r="E72" s="114">
        <v>0.67</v>
      </c>
      <c r="F72" s="141">
        <v>0</v>
      </c>
      <c r="G72" s="141">
        <v>0</v>
      </c>
      <c r="H72" s="114">
        <v>0</v>
      </c>
      <c r="I72" s="114">
        <v>0</v>
      </c>
      <c r="J72" s="114">
        <v>1E-3</v>
      </c>
      <c r="K72" s="114">
        <v>0.46</v>
      </c>
      <c r="L72" s="114">
        <v>4.0000000000000001E-3</v>
      </c>
      <c r="M72" s="114">
        <v>0.06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6"/>
  <sheetViews>
    <sheetView topLeftCell="Q1" workbookViewId="0">
      <selection activeCell="AB35" sqref="AB35"/>
    </sheetView>
  </sheetViews>
  <sheetFormatPr defaultRowHeight="12.75" x14ac:dyDescent="0.2"/>
  <sheetData>
    <row r="2" spans="1:52" x14ac:dyDescent="0.2">
      <c r="A2" s="74"/>
      <c r="B2" s="74" t="s">
        <v>237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</row>
    <row r="3" spans="1:52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</row>
    <row r="4" spans="1:52" ht="15" x14ac:dyDescent="0.25">
      <c r="A4" s="74"/>
      <c r="B4" s="193"/>
      <c r="C4" s="193"/>
      <c r="D4" s="194" t="s">
        <v>238</v>
      </c>
      <c r="E4" s="193"/>
      <c r="F4" s="194" t="s">
        <v>239</v>
      </c>
      <c r="G4" s="194"/>
      <c r="H4" s="194" t="s">
        <v>240</v>
      </c>
      <c r="I4" s="193"/>
      <c r="J4" s="194" t="s">
        <v>241</v>
      </c>
      <c r="K4" s="195" t="s">
        <v>242</v>
      </c>
      <c r="L4" s="195" t="s">
        <v>243</v>
      </c>
      <c r="M4" s="196" t="s">
        <v>244</v>
      </c>
      <c r="N4" s="74"/>
      <c r="O4" s="111" t="s">
        <v>245</v>
      </c>
      <c r="P4" s="74"/>
      <c r="Q4" s="111" t="s">
        <v>246</v>
      </c>
      <c r="R4" s="74"/>
      <c r="S4" s="74" t="s">
        <v>247</v>
      </c>
      <c r="T4" s="74" t="s">
        <v>248</v>
      </c>
      <c r="U4" s="74" t="s">
        <v>249</v>
      </c>
      <c r="V4" s="74" t="s">
        <v>217</v>
      </c>
      <c r="W4" s="74" t="s">
        <v>218</v>
      </c>
      <c r="X4" s="74" t="s">
        <v>250</v>
      </c>
      <c r="Y4" s="74" t="s">
        <v>251</v>
      </c>
      <c r="Z4" s="74" t="s">
        <v>252</v>
      </c>
      <c r="AA4" s="74" t="s">
        <v>253</v>
      </c>
      <c r="AB4" s="74" t="s">
        <v>254</v>
      </c>
      <c r="AC4" s="74" t="s">
        <v>255</v>
      </c>
      <c r="AD4" s="74" t="s">
        <v>256</v>
      </c>
      <c r="AE4" s="74"/>
      <c r="AF4" s="74" t="s">
        <v>250</v>
      </c>
      <c r="AG4" s="74" t="s">
        <v>252</v>
      </c>
      <c r="AH4" s="74" t="s">
        <v>255</v>
      </c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</row>
    <row r="5" spans="1:52" ht="15.75" x14ac:dyDescent="0.25">
      <c r="A5" s="74"/>
      <c r="B5" s="194" t="s">
        <v>257</v>
      </c>
      <c r="C5" s="193"/>
      <c r="D5" s="194" t="s">
        <v>258</v>
      </c>
      <c r="E5" s="193"/>
      <c r="F5" s="194" t="s">
        <v>258</v>
      </c>
      <c r="G5" s="194"/>
      <c r="H5" s="194" t="s">
        <v>258</v>
      </c>
      <c r="I5" s="193"/>
      <c r="J5" s="194" t="s">
        <v>259</v>
      </c>
      <c r="K5" s="74"/>
      <c r="L5" s="197" t="s">
        <v>260</v>
      </c>
      <c r="M5" s="74"/>
      <c r="N5" s="74"/>
      <c r="O5" s="74"/>
      <c r="P5" s="74"/>
      <c r="Q5" s="74" t="s">
        <v>261</v>
      </c>
      <c r="R5" s="74"/>
      <c r="S5" s="74" t="s">
        <v>262</v>
      </c>
      <c r="T5" s="74" t="s">
        <v>263</v>
      </c>
      <c r="U5" s="74"/>
      <c r="V5" s="74" t="s">
        <v>219</v>
      </c>
      <c r="W5" s="74" t="s">
        <v>220</v>
      </c>
      <c r="X5" s="74" t="s">
        <v>264</v>
      </c>
      <c r="Y5" s="74" t="s">
        <v>264</v>
      </c>
      <c r="Z5" s="74" t="s">
        <v>265</v>
      </c>
      <c r="AA5" s="74" t="s">
        <v>264</v>
      </c>
      <c r="AB5" s="74" t="s">
        <v>264</v>
      </c>
      <c r="AC5" s="74" t="s">
        <v>264</v>
      </c>
      <c r="AD5" s="74" t="s">
        <v>264</v>
      </c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 x14ac:dyDescent="0.2">
      <c r="A6" s="74"/>
      <c r="B6" s="194">
        <v>1</v>
      </c>
      <c r="C6" s="193" t="s">
        <v>109</v>
      </c>
      <c r="D6" s="194">
        <v>10</v>
      </c>
      <c r="E6" s="193"/>
      <c r="F6" s="194">
        <v>13</v>
      </c>
      <c r="G6" s="194"/>
      <c r="H6" s="194">
        <v>8</v>
      </c>
      <c r="I6" s="198"/>
      <c r="J6" s="194">
        <v>2231</v>
      </c>
      <c r="K6" s="195">
        <v>49.3</v>
      </c>
      <c r="L6" s="195">
        <v>20.9</v>
      </c>
      <c r="M6" s="196">
        <v>7.46</v>
      </c>
      <c r="N6" s="74"/>
      <c r="O6" s="111">
        <v>0</v>
      </c>
      <c r="P6" s="74"/>
      <c r="Q6" s="111">
        <v>0.27</v>
      </c>
      <c r="R6" s="74"/>
      <c r="S6" s="199">
        <v>3.5999999999999997E-2</v>
      </c>
      <c r="T6" s="74">
        <v>2E-3</v>
      </c>
      <c r="U6" s="74"/>
      <c r="V6" s="74"/>
      <c r="W6" s="74"/>
      <c r="X6" s="190">
        <v>4.3799999999999999E-2</v>
      </c>
      <c r="Y6" s="74">
        <v>5.5270000000000001</v>
      </c>
      <c r="Z6" s="74">
        <v>2.8899999999999999E-2</v>
      </c>
      <c r="AA6" s="190">
        <v>0.5181</v>
      </c>
      <c r="AB6" s="74">
        <v>1.1220000000000001</v>
      </c>
      <c r="AC6" s="74">
        <v>1.0999999999999999E-2</v>
      </c>
      <c r="AD6" s="74">
        <v>1.8620000000000001</v>
      </c>
      <c r="AE6" s="74"/>
      <c r="AF6" s="74">
        <v>43.8</v>
      </c>
      <c r="AG6" s="74">
        <v>28.9</v>
      </c>
      <c r="AH6" s="74">
        <v>11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</row>
    <row r="7" spans="1:52" ht="15" x14ac:dyDescent="0.25">
      <c r="A7" s="74"/>
      <c r="B7" s="194">
        <v>2</v>
      </c>
      <c r="C7" s="193" t="s">
        <v>144</v>
      </c>
      <c r="D7" s="194">
        <v>6</v>
      </c>
      <c r="E7" s="193"/>
      <c r="F7" s="194">
        <v>10</v>
      </c>
      <c r="G7" s="194"/>
      <c r="H7" s="194">
        <v>6</v>
      </c>
      <c r="I7" s="198"/>
      <c r="J7" s="194">
        <v>1710</v>
      </c>
      <c r="K7" s="195">
        <v>164.2</v>
      </c>
      <c r="L7" s="200">
        <v>20.8</v>
      </c>
      <c r="M7" s="196">
        <v>7.82</v>
      </c>
      <c r="N7" s="74"/>
      <c r="O7" s="111">
        <v>5.09</v>
      </c>
      <c r="P7" s="74"/>
      <c r="Q7" s="199">
        <v>1.64</v>
      </c>
      <c r="R7" s="74"/>
      <c r="S7" s="199">
        <v>2E-3</v>
      </c>
      <c r="T7" s="74">
        <v>0</v>
      </c>
      <c r="U7" s="74"/>
      <c r="V7" s="74" t="s">
        <v>221</v>
      </c>
      <c r="W7" s="74" t="s">
        <v>222</v>
      </c>
      <c r="X7" s="74">
        <v>3.3300000000000003E-2</v>
      </c>
      <c r="Y7" s="74">
        <v>23.92</v>
      </c>
      <c r="Z7" s="74">
        <v>2.46E-2</v>
      </c>
      <c r="AA7" s="74">
        <v>2.1880999999999999</v>
      </c>
      <c r="AB7" s="74">
        <v>2.214</v>
      </c>
      <c r="AC7" s="74">
        <v>0.3115</v>
      </c>
      <c r="AD7" s="74">
        <v>1.425</v>
      </c>
      <c r="AE7" s="74"/>
      <c r="AF7" s="74">
        <v>33.300000000000004</v>
      </c>
      <c r="AG7" s="74">
        <v>24.6</v>
      </c>
      <c r="AH7" s="74">
        <v>311.5</v>
      </c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</row>
    <row r="8" spans="1:52" x14ac:dyDescent="0.2">
      <c r="A8" s="74"/>
      <c r="B8" s="194">
        <v>3</v>
      </c>
      <c r="C8" s="193" t="s">
        <v>146</v>
      </c>
      <c r="D8" s="194">
        <v>4</v>
      </c>
      <c r="E8" s="193"/>
      <c r="F8" s="194">
        <v>31</v>
      </c>
      <c r="G8" s="194"/>
      <c r="H8" s="194">
        <v>10</v>
      </c>
      <c r="I8" s="198"/>
      <c r="J8" s="194">
        <v>6182</v>
      </c>
      <c r="K8" s="195">
        <v>236</v>
      </c>
      <c r="L8" s="195">
        <v>18.2</v>
      </c>
      <c r="M8" s="191">
        <v>7.38</v>
      </c>
      <c r="N8" s="196">
        <v>7.38</v>
      </c>
      <c r="O8" s="196">
        <v>4.8600000000000003</v>
      </c>
      <c r="P8" s="74"/>
      <c r="Q8" s="111">
        <v>1.1599999999999999</v>
      </c>
      <c r="R8" s="74"/>
      <c r="S8" s="111">
        <v>0.153</v>
      </c>
      <c r="T8" s="74">
        <v>1.2E-2</v>
      </c>
      <c r="U8" s="74"/>
      <c r="V8" s="74"/>
      <c r="W8" s="74"/>
      <c r="X8" s="74">
        <v>3.85E-2</v>
      </c>
      <c r="Y8" s="74">
        <v>20.957000000000001</v>
      </c>
      <c r="Z8" s="74">
        <v>3.1600000000000003E-2</v>
      </c>
      <c r="AA8" s="74">
        <v>3.0057999999999998</v>
      </c>
      <c r="AB8" s="74">
        <v>2.9049999999999998</v>
      </c>
      <c r="AC8" s="74">
        <v>1.0500000000000001E-2</v>
      </c>
      <c r="AD8" s="74">
        <v>19.782</v>
      </c>
      <c r="AE8" s="74"/>
      <c r="AF8" s="74">
        <v>38.5</v>
      </c>
      <c r="AG8" s="74">
        <v>31.6</v>
      </c>
      <c r="AH8" s="74">
        <v>10.5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</row>
    <row r="9" spans="1:52" ht="15" x14ac:dyDescent="0.25">
      <c r="A9" s="74"/>
      <c r="B9" s="194">
        <v>4</v>
      </c>
      <c r="C9" s="193" t="s">
        <v>111</v>
      </c>
      <c r="D9" s="194">
        <v>3</v>
      </c>
      <c r="E9" s="193"/>
      <c r="F9" s="194">
        <v>20</v>
      </c>
      <c r="G9" s="194"/>
      <c r="H9" s="194">
        <v>7</v>
      </c>
      <c r="I9" s="198"/>
      <c r="J9" s="194">
        <v>8850</v>
      </c>
      <c r="K9" s="196">
        <v>216</v>
      </c>
      <c r="L9" s="200">
        <v>42236</v>
      </c>
      <c r="M9" s="111">
        <v>7.83</v>
      </c>
      <c r="N9" s="74"/>
      <c r="O9" s="111">
        <v>1.19</v>
      </c>
      <c r="P9" s="74"/>
      <c r="Q9" s="199">
        <v>1.78</v>
      </c>
      <c r="R9" s="74"/>
      <c r="S9" s="199">
        <v>0.188</v>
      </c>
      <c r="T9" s="74">
        <v>1.2E-2</v>
      </c>
      <c r="U9" s="74"/>
      <c r="V9" s="74" t="s">
        <v>223</v>
      </c>
      <c r="W9" s="74" t="s">
        <v>224</v>
      </c>
      <c r="X9" s="74">
        <v>2.5899999999999999E-2</v>
      </c>
      <c r="Y9" s="74">
        <v>22.724</v>
      </c>
      <c r="Z9" s="74">
        <v>2.5600000000000001E-2</v>
      </c>
      <c r="AA9" s="34">
        <v>1.7110000000000001</v>
      </c>
      <c r="AB9" s="74">
        <v>3.4950000000000001</v>
      </c>
      <c r="AC9" s="74">
        <v>1.0500000000000001E-2</v>
      </c>
      <c r="AD9" s="74">
        <v>9.702</v>
      </c>
      <c r="AE9" s="74"/>
      <c r="AF9" s="74">
        <v>25.9</v>
      </c>
      <c r="AG9" s="74">
        <v>25.6</v>
      </c>
      <c r="AH9" s="74">
        <v>10.5</v>
      </c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</row>
    <row r="10" spans="1:52" ht="15" x14ac:dyDescent="0.25">
      <c r="A10" s="74"/>
      <c r="B10" s="194">
        <v>5</v>
      </c>
      <c r="C10" s="193" t="s">
        <v>110</v>
      </c>
      <c r="D10" s="194">
        <v>2</v>
      </c>
      <c r="E10" s="193"/>
      <c r="F10" s="194">
        <v>9</v>
      </c>
      <c r="G10" s="194"/>
      <c r="H10" s="194">
        <v>6</v>
      </c>
      <c r="I10" s="198"/>
      <c r="J10" s="194">
        <v>5470</v>
      </c>
      <c r="K10" s="196">
        <v>224</v>
      </c>
      <c r="L10" s="196">
        <v>20.8</v>
      </c>
      <c r="M10" s="111">
        <v>6.81</v>
      </c>
      <c r="N10" s="74"/>
      <c r="O10" s="111">
        <v>0</v>
      </c>
      <c r="P10" s="74"/>
      <c r="Q10" s="111">
        <v>1.1299999999999999</v>
      </c>
      <c r="R10" s="74"/>
      <c r="S10" s="199">
        <v>0.193</v>
      </c>
      <c r="T10" s="74">
        <v>1.9E-2</v>
      </c>
      <c r="U10" s="74"/>
      <c r="V10" s="74" t="s">
        <v>225</v>
      </c>
      <c r="W10" s="74" t="s">
        <v>226</v>
      </c>
      <c r="X10" s="74">
        <v>0.1145</v>
      </c>
      <c r="Y10" s="74">
        <v>2.1539999999999999</v>
      </c>
      <c r="Z10" s="74">
        <v>4.0899999999999999E-2</v>
      </c>
      <c r="AA10" s="74">
        <v>0.41570000000000001</v>
      </c>
      <c r="AB10" s="74">
        <v>0.52610000000000001</v>
      </c>
      <c r="AC10" s="74">
        <v>1.15E-2</v>
      </c>
      <c r="AD10" s="74">
        <v>1.4730000000000001</v>
      </c>
      <c r="AE10" s="74"/>
      <c r="AF10" s="74">
        <v>114.5</v>
      </c>
      <c r="AG10" s="74">
        <v>40.9</v>
      </c>
      <c r="AH10" s="74">
        <v>11.5</v>
      </c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</row>
    <row r="11" spans="1:52" x14ac:dyDescent="0.2">
      <c r="A11" s="74"/>
      <c r="B11" s="194">
        <v>6</v>
      </c>
      <c r="C11" s="193" t="s">
        <v>103</v>
      </c>
      <c r="D11" s="194">
        <v>2</v>
      </c>
      <c r="E11" s="193"/>
      <c r="F11" s="194">
        <v>22</v>
      </c>
      <c r="G11" s="194"/>
      <c r="H11" s="194">
        <v>14</v>
      </c>
      <c r="I11" s="198"/>
      <c r="J11" s="194">
        <v>5613</v>
      </c>
      <c r="K11" s="196">
        <v>45.2</v>
      </c>
      <c r="L11" s="201">
        <v>20.9</v>
      </c>
      <c r="M11" s="111">
        <v>7.02</v>
      </c>
      <c r="N11" s="74"/>
      <c r="O11" s="111">
        <v>0</v>
      </c>
      <c r="P11" s="74"/>
      <c r="Q11" s="199">
        <v>0.24</v>
      </c>
      <c r="R11" s="74"/>
      <c r="S11" s="199">
        <v>0.189</v>
      </c>
      <c r="T11" s="74">
        <v>1.9E-2</v>
      </c>
      <c r="U11" s="74"/>
      <c r="V11" s="74" t="s">
        <v>227</v>
      </c>
      <c r="W11" s="74" t="s">
        <v>228</v>
      </c>
      <c r="X11" s="74">
        <v>8.3099999999999993E-2</v>
      </c>
      <c r="Y11" s="74">
        <v>4.0990000000000002</v>
      </c>
      <c r="Z11" s="74">
        <v>5.7200000000000001E-2</v>
      </c>
      <c r="AA11" s="74">
        <v>0.58830000000000005</v>
      </c>
      <c r="AB11" s="74">
        <v>0.79490000000000005</v>
      </c>
      <c r="AC11" s="74">
        <v>1.32E-2</v>
      </c>
      <c r="AD11" s="74">
        <v>2.9430000000000001</v>
      </c>
      <c r="AE11" s="74"/>
      <c r="AF11" s="74">
        <v>83.1</v>
      </c>
      <c r="AG11" s="74">
        <v>57.2</v>
      </c>
      <c r="AH11" s="74">
        <v>13.2</v>
      </c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</row>
    <row r="12" spans="1:52" x14ac:dyDescent="0.2">
      <c r="A12" s="74"/>
      <c r="B12" s="194">
        <v>7</v>
      </c>
      <c r="C12" s="193" t="s">
        <v>108</v>
      </c>
      <c r="D12" s="194">
        <v>64</v>
      </c>
      <c r="E12" s="193"/>
      <c r="F12" s="194">
        <v>198</v>
      </c>
      <c r="G12" s="194"/>
      <c r="H12" s="194">
        <v>67</v>
      </c>
      <c r="I12" s="198"/>
      <c r="J12" s="194">
        <v>5960</v>
      </c>
      <c r="K12" s="196">
        <v>228</v>
      </c>
      <c r="L12" s="111">
        <v>21</v>
      </c>
      <c r="M12" s="111">
        <v>7.36</v>
      </c>
      <c r="N12" s="74"/>
      <c r="O12" s="111">
        <v>5.51</v>
      </c>
      <c r="P12" s="74"/>
      <c r="Q12" s="111">
        <v>1.64</v>
      </c>
      <c r="R12" s="74"/>
      <c r="S12" s="199">
        <v>0.17899999999999999</v>
      </c>
      <c r="T12" s="74">
        <v>1.7999999999999999E-2</v>
      </c>
      <c r="U12" s="74"/>
      <c r="V12" s="74" t="s">
        <v>229</v>
      </c>
      <c r="W12" s="74" t="s">
        <v>230</v>
      </c>
      <c r="X12" s="74">
        <v>3.6900000000000002E-2</v>
      </c>
      <c r="Y12" s="74">
        <v>24.169</v>
      </c>
      <c r="Z12" s="74">
        <v>0.17449999999999999</v>
      </c>
      <c r="AA12" s="74">
        <v>2.718</v>
      </c>
      <c r="AB12" s="74">
        <v>3.8879999999999999</v>
      </c>
      <c r="AC12" s="74">
        <v>0.11119999999999999</v>
      </c>
      <c r="AD12" s="74">
        <v>8.9990000000000006</v>
      </c>
      <c r="AE12" s="74"/>
      <c r="AF12" s="74">
        <v>36.900000000000006</v>
      </c>
      <c r="AG12" s="74">
        <v>174.5</v>
      </c>
      <c r="AH12" s="74">
        <v>111.19999999999999</v>
      </c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</row>
    <row r="13" spans="1:52" x14ac:dyDescent="0.2">
      <c r="A13" s="74"/>
      <c r="B13" s="194">
        <v>8</v>
      </c>
      <c r="C13" s="193" t="s">
        <v>105</v>
      </c>
      <c r="D13" s="194">
        <v>6</v>
      </c>
      <c r="E13" s="193"/>
      <c r="F13" s="194">
        <v>22</v>
      </c>
      <c r="G13" s="194"/>
      <c r="H13" s="194">
        <v>16</v>
      </c>
      <c r="I13" s="198"/>
      <c r="J13" s="194">
        <v>8991</v>
      </c>
      <c r="K13" s="196">
        <v>200</v>
      </c>
      <c r="L13" s="201">
        <v>20.7</v>
      </c>
      <c r="M13" s="111">
        <v>7.27</v>
      </c>
      <c r="N13" s="202"/>
      <c r="O13" s="111">
        <v>0.22</v>
      </c>
      <c r="P13" s="74"/>
      <c r="Q13" s="199">
        <v>0.81</v>
      </c>
      <c r="R13" s="74"/>
      <c r="S13" s="199">
        <v>0.30299999999999999</v>
      </c>
      <c r="T13" s="74">
        <v>3.1E-2</v>
      </c>
      <c r="U13" s="74"/>
      <c r="V13" s="74" t="s">
        <v>231</v>
      </c>
      <c r="W13" s="74" t="s">
        <v>232</v>
      </c>
      <c r="X13" s="74">
        <v>7.0499999999999993E-2</v>
      </c>
      <c r="Y13" s="74">
        <v>16.308</v>
      </c>
      <c r="Z13" s="74">
        <v>0.11890000000000001</v>
      </c>
      <c r="AA13" s="74">
        <v>2.3690000000000002</v>
      </c>
      <c r="AB13" s="34">
        <v>2.645</v>
      </c>
      <c r="AC13" s="74">
        <v>2.2200000000000001E-2</v>
      </c>
      <c r="AD13" s="74">
        <v>12.977</v>
      </c>
      <c r="AE13" s="74"/>
      <c r="AF13" s="74">
        <v>70.5</v>
      </c>
      <c r="AG13" s="74">
        <v>118.9</v>
      </c>
      <c r="AH13" s="74">
        <v>22.2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</row>
    <row r="14" spans="1:52" x14ac:dyDescent="0.2">
      <c r="A14" s="74"/>
      <c r="B14" s="194">
        <v>9</v>
      </c>
      <c r="C14" s="193" t="s">
        <v>104</v>
      </c>
      <c r="D14" s="194">
        <v>36</v>
      </c>
      <c r="E14" s="193"/>
      <c r="F14" s="194">
        <v>86</v>
      </c>
      <c r="G14" s="194"/>
      <c r="H14" s="194">
        <v>68</v>
      </c>
      <c r="I14" s="198"/>
      <c r="J14" s="194">
        <v>9440</v>
      </c>
      <c r="K14" s="196">
        <v>207</v>
      </c>
      <c r="L14" s="111">
        <v>21</v>
      </c>
      <c r="M14" s="111">
        <v>7.18</v>
      </c>
      <c r="N14" s="202"/>
      <c r="O14" s="111">
        <v>5.7</v>
      </c>
      <c r="P14" s="74"/>
      <c r="Q14" s="111">
        <v>1</v>
      </c>
      <c r="R14" s="74"/>
      <c r="S14" s="199">
        <v>0.34499999999999997</v>
      </c>
      <c r="T14" s="74">
        <v>3.9E-2</v>
      </c>
      <c r="U14" s="74"/>
      <c r="V14" s="74" t="s">
        <v>233</v>
      </c>
      <c r="W14" s="74" t="s">
        <v>234</v>
      </c>
      <c r="X14" s="74">
        <v>0.1893</v>
      </c>
      <c r="Y14" s="74">
        <v>16.577999999999999</v>
      </c>
      <c r="Z14" s="74">
        <v>0.22819999999999999</v>
      </c>
      <c r="AA14" s="74">
        <v>3.294</v>
      </c>
      <c r="AB14" s="74">
        <v>3.1840000000000002</v>
      </c>
      <c r="AC14" s="74">
        <v>0.16250000000000001</v>
      </c>
      <c r="AD14" s="74">
        <v>10.525</v>
      </c>
      <c r="AE14" s="74"/>
      <c r="AF14" s="74">
        <v>189.29999999999998</v>
      </c>
      <c r="AG14" s="74">
        <v>228.2</v>
      </c>
      <c r="AH14" s="74">
        <v>162.5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</row>
    <row r="15" spans="1:52" x14ac:dyDescent="0.2">
      <c r="A15" s="74"/>
      <c r="B15" s="194">
        <v>10</v>
      </c>
      <c r="C15" s="193" t="s">
        <v>107</v>
      </c>
      <c r="D15" s="194">
        <v>6</v>
      </c>
      <c r="E15" s="193"/>
      <c r="F15" s="194">
        <v>33</v>
      </c>
      <c r="G15" s="194"/>
      <c r="H15" s="194">
        <v>23</v>
      </c>
      <c r="I15" s="198"/>
      <c r="J15" s="194">
        <v>13270</v>
      </c>
      <c r="K15" s="196">
        <v>51.9</v>
      </c>
      <c r="L15" s="201">
        <v>20.9</v>
      </c>
      <c r="M15" s="111">
        <v>6.21</v>
      </c>
      <c r="N15" s="202"/>
      <c r="O15" s="111">
        <v>2.5499999999999998</v>
      </c>
      <c r="P15" s="74"/>
      <c r="Q15" s="199">
        <v>0.23</v>
      </c>
      <c r="R15" s="74"/>
      <c r="S15" s="199">
        <v>0.52700000000000002</v>
      </c>
      <c r="T15" s="74">
        <v>6.4000000000000001E-2</v>
      </c>
      <c r="U15" s="74"/>
      <c r="V15" s="74" t="s">
        <v>235</v>
      </c>
      <c r="W15" s="74" t="s">
        <v>236</v>
      </c>
      <c r="X15" s="74">
        <v>0.19969999999999999</v>
      </c>
      <c r="Y15" s="74">
        <v>3.726</v>
      </c>
      <c r="Z15" s="74">
        <v>0.2412</v>
      </c>
      <c r="AA15" s="74">
        <v>0.77400000000000002</v>
      </c>
      <c r="AB15" s="74">
        <v>0.84060000000000001</v>
      </c>
      <c r="AC15" s="74">
        <v>5.91E-2</v>
      </c>
      <c r="AD15" s="74">
        <v>4.4210000000000003</v>
      </c>
      <c r="AE15" s="74"/>
      <c r="AF15" s="74">
        <v>199.7</v>
      </c>
      <c r="AG15" s="74">
        <v>241.2</v>
      </c>
      <c r="AH15" s="74">
        <v>59.1</v>
      </c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</row>
    <row r="16" spans="1:52" x14ac:dyDescent="0.2">
      <c r="A16" s="74"/>
      <c r="B16" s="194">
        <v>11</v>
      </c>
      <c r="C16" s="193" t="s">
        <v>147</v>
      </c>
      <c r="D16" s="194">
        <v>3</v>
      </c>
      <c r="E16" s="193"/>
      <c r="F16" s="194">
        <v>22</v>
      </c>
      <c r="G16" s="194"/>
      <c r="H16" s="194">
        <v>10</v>
      </c>
      <c r="I16" s="198"/>
      <c r="J16" s="194">
        <v>18750</v>
      </c>
      <c r="K16" s="196">
        <v>31.5</v>
      </c>
      <c r="L16" s="111">
        <v>21.3</v>
      </c>
      <c r="M16" s="111">
        <v>5.56</v>
      </c>
      <c r="N16" s="202"/>
      <c r="O16" s="111">
        <v>0</v>
      </c>
      <c r="P16" s="74"/>
      <c r="Q16" s="111">
        <v>0.13</v>
      </c>
      <c r="R16" s="74"/>
      <c r="S16" s="199">
        <v>0.82799999999999996</v>
      </c>
      <c r="T16" s="74">
        <v>0.114</v>
      </c>
      <c r="U16" s="74"/>
      <c r="V16" s="74"/>
      <c r="W16" s="74"/>
      <c r="X16" s="74">
        <v>0.38419999999999999</v>
      </c>
      <c r="Y16" s="74">
        <v>3.069</v>
      </c>
      <c r="Z16" s="74">
        <v>0.36859999999999998</v>
      </c>
      <c r="AA16" s="74">
        <v>0.40989999999999999</v>
      </c>
      <c r="AB16" s="74">
        <v>0.6643</v>
      </c>
      <c r="AC16" s="74">
        <v>2.8000000000000001E-2</v>
      </c>
      <c r="AD16" s="74">
        <v>1.8480000000000001</v>
      </c>
      <c r="AE16" s="74"/>
      <c r="AF16" s="74">
        <v>384.2</v>
      </c>
      <c r="AG16" s="74">
        <v>368.59999999999997</v>
      </c>
      <c r="AH16" s="74">
        <v>28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topLeftCell="A44" workbookViewId="0">
      <selection activeCell="L75" sqref="L75"/>
    </sheetView>
  </sheetViews>
  <sheetFormatPr defaultColWidth="9.140625" defaultRowHeight="12.75" x14ac:dyDescent="0.2"/>
  <cols>
    <col min="1" max="1" width="2.7109375" style="74" customWidth="1"/>
    <col min="2" max="2" width="7.7109375" style="74" customWidth="1"/>
    <col min="3" max="3" width="18.7109375" style="74" customWidth="1"/>
    <col min="4" max="8" width="12" style="74" customWidth="1"/>
    <col min="9" max="9" width="10.85546875" style="74" customWidth="1"/>
    <col min="10" max="16384" width="9.140625" style="74"/>
  </cols>
  <sheetData>
    <row r="1" spans="2:9" ht="15.75" x14ac:dyDescent="0.25">
      <c r="D1" s="154"/>
    </row>
    <row r="3" spans="2:9" x14ac:dyDescent="0.2">
      <c r="B3" s="155"/>
      <c r="C3" s="155"/>
      <c r="D3" s="155"/>
      <c r="E3" s="155"/>
      <c r="F3" s="155"/>
    </row>
    <row r="4" spans="2:9" ht="18" x14ac:dyDescent="0.25">
      <c r="B4" s="156" t="s">
        <v>148</v>
      </c>
      <c r="C4" s="157"/>
      <c r="D4" s="158" t="s">
        <v>149</v>
      </c>
      <c r="E4" s="159"/>
      <c r="F4" s="159"/>
      <c r="G4" s="160"/>
    </row>
    <row r="5" spans="2:9" ht="18" x14ac:dyDescent="0.25">
      <c r="B5" s="161" t="s">
        <v>150</v>
      </c>
      <c r="C5" s="162"/>
      <c r="D5" s="163" t="s">
        <v>151</v>
      </c>
      <c r="E5" s="164"/>
      <c r="F5" s="164"/>
      <c r="G5" s="165"/>
    </row>
    <row r="6" spans="2:9" ht="18" x14ac:dyDescent="0.25">
      <c r="B6" s="161" t="s">
        <v>152</v>
      </c>
      <c r="C6" s="162"/>
      <c r="D6" s="163" t="s">
        <v>153</v>
      </c>
      <c r="E6" s="164"/>
      <c r="F6" s="164"/>
      <c r="G6" s="165"/>
    </row>
    <row r="7" spans="2:9" ht="18" x14ac:dyDescent="0.25">
      <c r="B7" s="161" t="s">
        <v>154</v>
      </c>
      <c r="C7" s="162"/>
      <c r="D7" s="166">
        <v>42298.500335648147</v>
      </c>
      <c r="E7" s="164"/>
      <c r="F7" s="164"/>
      <c r="G7" s="165"/>
    </row>
    <row r="8" spans="2:9" ht="17.25" customHeight="1" x14ac:dyDescent="0.25">
      <c r="B8" s="167" t="s">
        <v>155</v>
      </c>
      <c r="C8" s="168"/>
      <c r="D8" s="169" t="s">
        <v>156</v>
      </c>
      <c r="E8" s="170"/>
      <c r="F8" s="170"/>
      <c r="G8" s="171"/>
    </row>
    <row r="9" spans="2:9" ht="13.5" customHeight="1" x14ac:dyDescent="0.2">
      <c r="B9" s="155"/>
      <c r="C9" s="155"/>
      <c r="D9" s="155"/>
      <c r="E9" s="155"/>
      <c r="F9" s="155"/>
    </row>
    <row r="10" spans="2:9" ht="14.25" customHeight="1" x14ac:dyDescent="0.25">
      <c r="B10" s="172" t="s">
        <v>157</v>
      </c>
      <c r="C10" s="156" t="s">
        <v>158</v>
      </c>
      <c r="D10" s="156" t="s">
        <v>159</v>
      </c>
      <c r="E10" s="156" t="s">
        <v>159</v>
      </c>
      <c r="F10" s="156" t="s">
        <v>159</v>
      </c>
      <c r="G10" s="156" t="s">
        <v>159</v>
      </c>
      <c r="H10" s="156" t="s">
        <v>159</v>
      </c>
      <c r="I10" s="172" t="s">
        <v>159</v>
      </c>
    </row>
    <row r="11" spans="2:9" ht="14.25" customHeight="1" x14ac:dyDescent="0.25">
      <c r="B11" s="173" t="s">
        <v>160</v>
      </c>
      <c r="C11" s="174" t="s">
        <v>160</v>
      </c>
      <c r="D11" s="174" t="s">
        <v>161</v>
      </c>
      <c r="E11" s="174" t="s">
        <v>161</v>
      </c>
      <c r="F11" s="174" t="s">
        <v>161</v>
      </c>
      <c r="G11" s="174" t="s">
        <v>161</v>
      </c>
      <c r="H11" s="174" t="s">
        <v>161</v>
      </c>
      <c r="I11" s="173" t="s">
        <v>161</v>
      </c>
    </row>
    <row r="12" spans="2:9" ht="14.25" customHeight="1" x14ac:dyDescent="0.25">
      <c r="B12" s="173" t="s">
        <v>160</v>
      </c>
      <c r="C12" s="174" t="s">
        <v>160</v>
      </c>
      <c r="D12" s="174" t="s">
        <v>162</v>
      </c>
      <c r="E12" s="174" t="s">
        <v>163</v>
      </c>
      <c r="F12" s="174" t="s">
        <v>164</v>
      </c>
      <c r="G12" s="174" t="s">
        <v>165</v>
      </c>
      <c r="H12" s="174" t="s">
        <v>166</v>
      </c>
      <c r="I12" s="173" t="s">
        <v>167</v>
      </c>
    </row>
    <row r="13" spans="2:9" ht="14.25" customHeight="1" x14ac:dyDescent="0.25">
      <c r="B13" s="175" t="s">
        <v>160</v>
      </c>
      <c r="C13" s="176" t="s">
        <v>160</v>
      </c>
      <c r="D13" s="177" t="s">
        <v>168</v>
      </c>
      <c r="E13" s="178" t="s">
        <v>168</v>
      </c>
      <c r="F13" s="178" t="s">
        <v>168</v>
      </c>
      <c r="G13" s="178" t="s">
        <v>168</v>
      </c>
      <c r="H13" s="178" t="s">
        <v>168</v>
      </c>
      <c r="I13" s="179" t="s">
        <v>168</v>
      </c>
    </row>
    <row r="14" spans="2:9" ht="14.25" customHeight="1" x14ac:dyDescent="0.2">
      <c r="B14" s="180">
        <v>1</v>
      </c>
      <c r="C14" s="181" t="s">
        <v>169</v>
      </c>
      <c r="D14" s="182" t="s">
        <v>170</v>
      </c>
      <c r="E14" s="182" t="s">
        <v>170</v>
      </c>
      <c r="F14" s="182" t="s">
        <v>170</v>
      </c>
      <c r="G14" s="182" t="s">
        <v>170</v>
      </c>
      <c r="H14" s="182" t="s">
        <v>170</v>
      </c>
      <c r="I14" s="182" t="s">
        <v>170</v>
      </c>
    </row>
    <row r="15" spans="2:9" ht="14.25" customHeight="1" x14ac:dyDescent="0.2">
      <c r="B15" s="180">
        <v>2</v>
      </c>
      <c r="C15" s="181" t="s">
        <v>169</v>
      </c>
      <c r="D15" s="182" t="s">
        <v>170</v>
      </c>
      <c r="E15" s="182" t="s">
        <v>170</v>
      </c>
      <c r="F15" s="182" t="s">
        <v>170</v>
      </c>
      <c r="G15" s="182" t="s">
        <v>170</v>
      </c>
      <c r="H15" s="182" t="s">
        <v>170</v>
      </c>
      <c r="I15" s="182" t="s">
        <v>170</v>
      </c>
    </row>
    <row r="16" spans="2:9" ht="14.25" customHeight="1" x14ac:dyDescent="0.2">
      <c r="B16" s="180">
        <v>3</v>
      </c>
      <c r="C16" s="181" t="s">
        <v>169</v>
      </c>
      <c r="D16" s="182" t="s">
        <v>170</v>
      </c>
      <c r="E16" s="182" t="s">
        <v>170</v>
      </c>
      <c r="F16" s="182" t="s">
        <v>170</v>
      </c>
      <c r="G16" s="182" t="s">
        <v>170</v>
      </c>
      <c r="H16" s="182" t="s">
        <v>170</v>
      </c>
      <c r="I16" s="182" t="s">
        <v>170</v>
      </c>
    </row>
    <row r="17" spans="2:9" ht="14.25" customHeight="1" x14ac:dyDescent="0.2">
      <c r="B17" s="180">
        <v>4</v>
      </c>
      <c r="C17" s="181" t="s">
        <v>171</v>
      </c>
      <c r="D17" s="182">
        <v>9.6508383127409891E-2</v>
      </c>
      <c r="E17" s="182">
        <v>0.22656458917992434</v>
      </c>
      <c r="F17" s="182">
        <v>0.43908718680754499</v>
      </c>
      <c r="G17" s="182">
        <v>0.45640541175837179</v>
      </c>
      <c r="H17" s="182">
        <v>0.44182104038316583</v>
      </c>
      <c r="I17" s="182">
        <v>0.77551911383396632</v>
      </c>
    </row>
    <row r="18" spans="2:9" ht="14.25" customHeight="1" x14ac:dyDescent="0.2">
      <c r="B18" s="180">
        <v>5</v>
      </c>
      <c r="C18" s="181" t="s">
        <v>172</v>
      </c>
      <c r="D18" s="182">
        <v>0.50420513206108819</v>
      </c>
      <c r="E18" s="182">
        <v>0.96855211632191074</v>
      </c>
      <c r="F18" s="182">
        <v>1.9535626582878145</v>
      </c>
      <c r="G18" s="182">
        <v>1.9332809279695087</v>
      </c>
      <c r="H18" s="182">
        <v>1.9503491899958423</v>
      </c>
      <c r="I18" s="182">
        <v>2.9401031410278895</v>
      </c>
    </row>
    <row r="19" spans="2:9" ht="14.25" customHeight="1" x14ac:dyDescent="0.2">
      <c r="B19" s="180">
        <v>6</v>
      </c>
      <c r="C19" s="181" t="s">
        <v>173</v>
      </c>
      <c r="D19" s="182">
        <v>2.4992864848115022</v>
      </c>
      <c r="E19" s="182">
        <v>5.0048832944981658</v>
      </c>
      <c r="F19" s="182">
        <v>10.007350154904643</v>
      </c>
      <c r="G19" s="182">
        <v>10.010313660272118</v>
      </c>
      <c r="H19" s="182">
        <v>10.007829769620995</v>
      </c>
      <c r="I19" s="182">
        <v>15.002665160833212</v>
      </c>
    </row>
    <row r="20" spans="2:9" ht="14.25" customHeight="1" x14ac:dyDescent="0.2">
      <c r="B20" s="180">
        <v>7</v>
      </c>
      <c r="C20" s="181" t="s">
        <v>169</v>
      </c>
      <c r="D20" s="182" t="s">
        <v>170</v>
      </c>
      <c r="E20" s="182" t="s">
        <v>170</v>
      </c>
      <c r="F20" s="182" t="s">
        <v>170</v>
      </c>
      <c r="G20" s="182" t="s">
        <v>170</v>
      </c>
      <c r="H20" s="182" t="s">
        <v>170</v>
      </c>
      <c r="I20" s="182">
        <v>0.12399307888877653</v>
      </c>
    </row>
    <row r="21" spans="2:9" ht="14.25" customHeight="1" x14ac:dyDescent="0.2">
      <c r="B21" s="180">
        <v>8</v>
      </c>
      <c r="C21" s="181" t="s">
        <v>174</v>
      </c>
      <c r="D21" s="182">
        <v>0.10113842751276733</v>
      </c>
      <c r="E21" s="182">
        <v>0.22669023147050343</v>
      </c>
      <c r="F21" s="182">
        <v>0.43928889872270821</v>
      </c>
      <c r="G21" s="182">
        <v>0.45795119183791944</v>
      </c>
      <c r="H21" s="182">
        <v>0.44150095925109689</v>
      </c>
      <c r="I21" s="182">
        <v>0.79778389742473077</v>
      </c>
    </row>
    <row r="22" spans="2:9" ht="14.25" customHeight="1" x14ac:dyDescent="0.2">
      <c r="B22" s="180">
        <v>9</v>
      </c>
      <c r="C22" s="181" t="s">
        <v>175</v>
      </c>
      <c r="D22" s="182">
        <v>1.1176270558546981</v>
      </c>
      <c r="E22" s="182">
        <v>2.5199468237306157</v>
      </c>
      <c r="F22" s="182">
        <v>5.3487058945226176</v>
      </c>
      <c r="G22" s="182" t="s">
        <v>170</v>
      </c>
      <c r="H22" s="182">
        <v>5.006014386662752</v>
      </c>
      <c r="I22" s="182">
        <v>10.37586505699355</v>
      </c>
    </row>
    <row r="23" spans="2:9" ht="14.25" customHeight="1" x14ac:dyDescent="0.2">
      <c r="B23" s="180">
        <v>10</v>
      </c>
      <c r="C23" s="181" t="s">
        <v>169</v>
      </c>
      <c r="D23" s="182">
        <v>4.3983457561618318E-2</v>
      </c>
      <c r="E23" s="182" t="s">
        <v>170</v>
      </c>
      <c r="F23" s="182">
        <v>0.1298493734013596</v>
      </c>
      <c r="G23" s="182" t="s">
        <v>170</v>
      </c>
      <c r="H23" s="182" t="s">
        <v>170</v>
      </c>
      <c r="I23" s="182">
        <v>0.39978785573324843</v>
      </c>
    </row>
    <row r="24" spans="2:9" ht="14.25" customHeight="1" x14ac:dyDescent="0.2">
      <c r="B24" s="180">
        <v>11</v>
      </c>
      <c r="C24" s="181" t="s">
        <v>176</v>
      </c>
      <c r="D24" s="183">
        <v>5.2709085639776672E-2</v>
      </c>
      <c r="E24" s="183">
        <v>2.4598227996121751</v>
      </c>
      <c r="F24" s="183">
        <v>7.5561335143805124</v>
      </c>
      <c r="G24" s="183" t="s">
        <v>170</v>
      </c>
      <c r="H24" s="183">
        <v>0.21082915674010316</v>
      </c>
      <c r="I24" s="183">
        <v>8.9866487082409865E-2</v>
      </c>
    </row>
    <row r="25" spans="2:9" ht="14.25" customHeight="1" x14ac:dyDescent="0.2">
      <c r="B25" s="180">
        <v>12</v>
      </c>
      <c r="C25" s="181" t="s">
        <v>177</v>
      </c>
      <c r="D25" s="183">
        <v>8.7324277411853057E-2</v>
      </c>
      <c r="E25" s="183">
        <v>0.62559612790636376</v>
      </c>
      <c r="F25" s="183">
        <v>6.3220196750290656</v>
      </c>
      <c r="G25" s="183" t="s">
        <v>170</v>
      </c>
      <c r="H25" s="183">
        <v>0.14439453955068959</v>
      </c>
      <c r="I25" s="183">
        <v>4.8854169809346343E-2</v>
      </c>
    </row>
    <row r="26" spans="2:9" ht="14.25" customHeight="1" x14ac:dyDescent="0.2">
      <c r="B26" s="180">
        <v>13</v>
      </c>
      <c r="C26" s="181" t="s">
        <v>178</v>
      </c>
      <c r="D26" s="183">
        <v>0.10516358904046383</v>
      </c>
      <c r="E26" s="184">
        <v>34.115358822297694</v>
      </c>
      <c r="F26" s="184">
        <v>20.067104375488373</v>
      </c>
      <c r="G26" s="183" t="s">
        <v>170</v>
      </c>
      <c r="H26" s="183">
        <v>0.15717644609130801</v>
      </c>
      <c r="I26" s="183">
        <v>3.0432922034158337E-2</v>
      </c>
    </row>
    <row r="27" spans="2:9" ht="14.25" customHeight="1" x14ac:dyDescent="0.2">
      <c r="B27" s="180">
        <v>14</v>
      </c>
      <c r="C27" s="181" t="s">
        <v>179</v>
      </c>
      <c r="D27" s="183">
        <v>5.6826368635467632E-2</v>
      </c>
      <c r="E27" s="184">
        <v>12.043610113217346</v>
      </c>
      <c r="F27" s="184">
        <v>7.4939031473091653</v>
      </c>
      <c r="G27" s="183" t="s">
        <v>170</v>
      </c>
      <c r="H27" s="183" t="s">
        <v>170</v>
      </c>
      <c r="I27" s="183">
        <v>1.9153491895036647E-2</v>
      </c>
    </row>
    <row r="28" spans="2:9" ht="14.25" customHeight="1" x14ac:dyDescent="0.2">
      <c r="B28" s="180">
        <v>15</v>
      </c>
      <c r="C28" s="181" t="s">
        <v>180</v>
      </c>
      <c r="D28" s="183">
        <v>8.9906660099300623E-2</v>
      </c>
      <c r="E28" s="183">
        <v>1.7256753514023231</v>
      </c>
      <c r="F28" s="183">
        <v>1.7522138245719154</v>
      </c>
      <c r="G28" s="183" t="s">
        <v>170</v>
      </c>
      <c r="H28" s="183">
        <v>0.45178623296157794</v>
      </c>
      <c r="I28" s="183">
        <v>2.4872701413996785E-2</v>
      </c>
    </row>
    <row r="29" spans="2:9" ht="14.25" customHeight="1" x14ac:dyDescent="0.2">
      <c r="B29" s="180">
        <v>16</v>
      </c>
      <c r="C29" s="181" t="s">
        <v>181</v>
      </c>
      <c r="D29" s="183">
        <v>0.10601828601002233</v>
      </c>
      <c r="E29" s="183">
        <v>4.3779087201522646</v>
      </c>
      <c r="F29" s="183">
        <v>3.3664918691879295</v>
      </c>
      <c r="G29" s="183" t="s">
        <v>170</v>
      </c>
      <c r="H29" s="183">
        <v>0.56276191790689167</v>
      </c>
      <c r="I29" s="183">
        <v>3.0379321367886937E-2</v>
      </c>
    </row>
    <row r="30" spans="2:9" ht="14.25" customHeight="1" x14ac:dyDescent="0.2">
      <c r="B30" s="180">
        <v>17</v>
      </c>
      <c r="C30" s="181" t="s">
        <v>182</v>
      </c>
      <c r="D30" s="183">
        <v>0.12612977731453712</v>
      </c>
      <c r="E30" s="183">
        <v>15.228896256028976</v>
      </c>
      <c r="F30" s="184">
        <v>10.84325329631492</v>
      </c>
      <c r="G30" s="183" t="s">
        <v>170</v>
      </c>
      <c r="H30" s="183">
        <v>1.6139723718476027</v>
      </c>
      <c r="I30" s="183">
        <v>0.15656436491373832</v>
      </c>
    </row>
    <row r="31" spans="2:9" ht="14.25" customHeight="1" x14ac:dyDescent="0.2">
      <c r="B31" s="180">
        <v>18</v>
      </c>
      <c r="C31" s="181" t="s">
        <v>183</v>
      </c>
      <c r="D31" s="183">
        <v>0.11007986545172951</v>
      </c>
      <c r="E31" s="184">
        <v>23.633762412774367</v>
      </c>
      <c r="F31" s="184">
        <v>16.372696859430455</v>
      </c>
      <c r="G31" s="183">
        <v>0.17283974460031143</v>
      </c>
      <c r="H31" s="183">
        <v>3.8433445696216002</v>
      </c>
      <c r="I31" s="183">
        <v>4.1545095415771685E-2</v>
      </c>
    </row>
    <row r="32" spans="2:9" ht="14.25" customHeight="1" x14ac:dyDescent="0.2">
      <c r="B32" s="180">
        <v>19</v>
      </c>
      <c r="C32" s="181" t="s">
        <v>184</v>
      </c>
      <c r="D32" s="183">
        <v>0.22660067325917024</v>
      </c>
      <c r="E32" s="184">
        <v>21.70615280660838</v>
      </c>
      <c r="F32" s="184">
        <v>12.432474238580662</v>
      </c>
      <c r="G32" s="183" t="s">
        <v>170</v>
      </c>
      <c r="H32" s="183">
        <v>6.8091025327473762</v>
      </c>
      <c r="I32" s="183">
        <v>0.10010043632885644</v>
      </c>
    </row>
    <row r="33" spans="2:9" ht="14.25" customHeight="1" x14ac:dyDescent="0.2">
      <c r="B33" s="180">
        <v>20</v>
      </c>
      <c r="C33" s="181" t="s">
        <v>185</v>
      </c>
      <c r="D33" s="183">
        <v>9.8711560439925294E-2</v>
      </c>
      <c r="E33" s="183">
        <v>6.314612036105272</v>
      </c>
      <c r="F33" s="183">
        <v>2.8548652850810035</v>
      </c>
      <c r="G33" s="183" t="s">
        <v>170</v>
      </c>
      <c r="H33" s="183">
        <v>0.27283954139291977</v>
      </c>
      <c r="I33" s="183">
        <v>4.645324882241255E-2</v>
      </c>
    </row>
    <row r="34" spans="2:9" ht="14.25" customHeight="1" x14ac:dyDescent="0.2">
      <c r="B34" s="180">
        <v>21</v>
      </c>
      <c r="C34" s="181" t="s">
        <v>186</v>
      </c>
      <c r="D34" s="183">
        <v>5.9945649341750527E-2</v>
      </c>
      <c r="E34" s="183">
        <v>2.3677130403632041</v>
      </c>
      <c r="F34" s="183">
        <v>2.6789276701886631</v>
      </c>
      <c r="G34" s="183">
        <v>0.19251404498450131</v>
      </c>
      <c r="H34" s="183">
        <v>0.14449412034733325</v>
      </c>
      <c r="I34" s="183">
        <v>2.5636292853420877E-2</v>
      </c>
    </row>
    <row r="35" spans="2:9" ht="14.25" customHeight="1" x14ac:dyDescent="0.2">
      <c r="B35" s="180">
        <v>22</v>
      </c>
      <c r="C35" s="181" t="s">
        <v>187</v>
      </c>
      <c r="D35" s="182" t="s">
        <v>170</v>
      </c>
      <c r="E35" s="182" t="s">
        <v>170</v>
      </c>
      <c r="F35" s="182" t="s">
        <v>170</v>
      </c>
      <c r="G35" s="182" t="s">
        <v>170</v>
      </c>
      <c r="H35" s="182" t="s">
        <v>170</v>
      </c>
      <c r="I35" s="182" t="s">
        <v>170</v>
      </c>
    </row>
    <row r="36" spans="2:9" ht="14.25" customHeight="1" x14ac:dyDescent="0.2">
      <c r="B36" s="180">
        <v>23</v>
      </c>
      <c r="C36" s="181" t="s">
        <v>187</v>
      </c>
      <c r="D36" s="182" t="s">
        <v>170</v>
      </c>
      <c r="E36" s="182">
        <v>7.4414567339565335E-2</v>
      </c>
      <c r="F36" s="182" t="s">
        <v>170</v>
      </c>
      <c r="G36" s="182" t="s">
        <v>170</v>
      </c>
      <c r="H36" s="182" t="s">
        <v>170</v>
      </c>
      <c r="I36" s="182">
        <v>1.4239367984496102E-2</v>
      </c>
    </row>
    <row r="37" spans="2:9" ht="14.25" customHeight="1" x14ac:dyDescent="0.2">
      <c r="B37" s="180">
        <v>24</v>
      </c>
      <c r="C37" s="181" t="s">
        <v>188</v>
      </c>
      <c r="D37" s="182">
        <v>0.50206033226245461</v>
      </c>
      <c r="E37" s="182">
        <v>0.97549315486367927</v>
      </c>
      <c r="F37" s="182">
        <v>1.9627607216192562</v>
      </c>
      <c r="G37" s="182">
        <v>1.9254710966775535</v>
      </c>
      <c r="H37" s="182">
        <v>1.9541190344402095</v>
      </c>
      <c r="I37" s="182">
        <v>2.9841697045901072</v>
      </c>
    </row>
    <row r="38" spans="2:9" ht="14.25" customHeight="1" x14ac:dyDescent="0.2">
      <c r="B38" s="180">
        <v>25</v>
      </c>
      <c r="C38" s="181" t="s">
        <v>187</v>
      </c>
      <c r="D38" s="182" t="s">
        <v>170</v>
      </c>
      <c r="E38" s="182" t="s">
        <v>170</v>
      </c>
      <c r="F38" s="182" t="s">
        <v>170</v>
      </c>
      <c r="G38" s="182" t="s">
        <v>170</v>
      </c>
      <c r="H38" s="182" t="s">
        <v>170</v>
      </c>
      <c r="I38" s="182">
        <v>8.0820765262453728E-2</v>
      </c>
    </row>
    <row r="39" spans="2:9" ht="14.25" customHeight="1" x14ac:dyDescent="0.2">
      <c r="B39" s="180">
        <v>26</v>
      </c>
      <c r="C39" s="181" t="s">
        <v>187</v>
      </c>
      <c r="D39" s="185">
        <v>2.1741861406228712E-2</v>
      </c>
      <c r="E39" s="185" t="s">
        <v>170</v>
      </c>
      <c r="F39" s="185" t="s">
        <v>170</v>
      </c>
      <c r="G39" s="185" t="s">
        <v>170</v>
      </c>
      <c r="H39" s="185" t="s">
        <v>170</v>
      </c>
      <c r="I39" s="185">
        <v>2.5020058648278876E-2</v>
      </c>
    </row>
    <row r="40" spans="2:9" ht="14.25" customHeight="1" x14ac:dyDescent="0.2">
      <c r="B40" s="180">
        <v>27</v>
      </c>
      <c r="C40" s="181" t="s">
        <v>189</v>
      </c>
      <c r="D40" s="183">
        <v>0.29053256977016007</v>
      </c>
      <c r="E40" s="182">
        <v>16.490386734206421</v>
      </c>
      <c r="F40" s="183">
        <v>1.5169684241345929</v>
      </c>
      <c r="G40" s="183">
        <v>0.53670504500063099</v>
      </c>
      <c r="H40" s="183">
        <v>0.2553275470117275</v>
      </c>
      <c r="I40" s="183">
        <v>3.2231613935761723</v>
      </c>
    </row>
    <row r="41" spans="2:9" ht="14.25" customHeight="1" x14ac:dyDescent="0.2">
      <c r="B41" s="180">
        <v>28</v>
      </c>
      <c r="C41" s="181" t="s">
        <v>190</v>
      </c>
      <c r="D41" s="183">
        <v>0.19928113260380753</v>
      </c>
      <c r="E41" s="182">
        <v>15.99596756847235</v>
      </c>
      <c r="F41" s="183">
        <v>0.57787843190083255</v>
      </c>
      <c r="G41" s="183">
        <v>2.2982468885311818</v>
      </c>
      <c r="H41" s="183">
        <v>1.1077889566797841</v>
      </c>
      <c r="I41" s="183">
        <v>0.29680949333626555</v>
      </c>
    </row>
    <row r="42" spans="2:9" ht="14.25" customHeight="1" x14ac:dyDescent="0.2">
      <c r="B42" s="180">
        <v>29</v>
      </c>
      <c r="C42" s="181" t="s">
        <v>191</v>
      </c>
      <c r="D42" s="183">
        <v>0.40110859680339894</v>
      </c>
      <c r="E42" s="182">
        <v>15.884668043375601</v>
      </c>
      <c r="F42" s="183">
        <v>0.28212393940155561</v>
      </c>
      <c r="G42" s="183">
        <v>0.96555785345732437</v>
      </c>
      <c r="H42" s="183">
        <v>1.3302666822098137</v>
      </c>
      <c r="I42" s="183">
        <v>8.2164569637028284E-2</v>
      </c>
    </row>
    <row r="43" spans="2:9" ht="14.25" customHeight="1" x14ac:dyDescent="0.2">
      <c r="B43" s="180">
        <v>30</v>
      </c>
      <c r="C43" s="181" t="s">
        <v>192</v>
      </c>
      <c r="D43" s="183">
        <v>0.19999011059059957</v>
      </c>
      <c r="E43" s="182">
        <v>15.429231492331862</v>
      </c>
      <c r="F43" s="183">
        <v>0.23131494921544921</v>
      </c>
      <c r="G43" s="183">
        <v>0.42781252683145177</v>
      </c>
      <c r="H43" s="183">
        <v>0.85195877718817392</v>
      </c>
      <c r="I43" s="183">
        <v>5.2811690508394647E-2</v>
      </c>
    </row>
    <row r="44" spans="2:9" ht="14.25" customHeight="1" x14ac:dyDescent="0.2">
      <c r="B44" s="180">
        <v>31</v>
      </c>
      <c r="C44" s="181" t="s">
        <v>193</v>
      </c>
      <c r="D44" s="183">
        <v>0.24969542826559285</v>
      </c>
      <c r="E44" s="182">
        <v>15.607914373891621</v>
      </c>
      <c r="F44" s="183">
        <v>0.3996726785846571</v>
      </c>
      <c r="G44" s="183">
        <v>1.0011350745551848</v>
      </c>
      <c r="H44" s="183">
        <v>0.52802244570634604</v>
      </c>
      <c r="I44" s="183">
        <v>4.3824673045188202E-2</v>
      </c>
    </row>
    <row r="45" spans="2:9" ht="14.25" customHeight="1" x14ac:dyDescent="0.2">
      <c r="B45" s="180">
        <v>32</v>
      </c>
      <c r="C45" s="181" t="s">
        <v>194</v>
      </c>
      <c r="D45" s="183">
        <v>0.28054700964938778</v>
      </c>
      <c r="E45" s="182">
        <v>16.033386634657699</v>
      </c>
      <c r="F45" s="183">
        <v>1.1956368607926231</v>
      </c>
      <c r="G45" s="183">
        <v>3.4644125156638252</v>
      </c>
      <c r="H45" s="183">
        <v>0.2280424087313645</v>
      </c>
      <c r="I45" s="183">
        <v>1.3382546267862247E-2</v>
      </c>
    </row>
    <row r="46" spans="2:9" ht="14.25" customHeight="1" x14ac:dyDescent="0.2">
      <c r="B46" s="180">
        <v>33</v>
      </c>
      <c r="C46" s="181" t="s">
        <v>195</v>
      </c>
      <c r="D46" s="183">
        <v>0.24497385399628926</v>
      </c>
      <c r="E46" s="182">
        <v>16.27450256643165</v>
      </c>
      <c r="F46" s="183">
        <v>2.7459094734838541</v>
      </c>
      <c r="G46" s="183">
        <v>0.86241142877756294</v>
      </c>
      <c r="H46" s="183">
        <v>3.1326008594055645</v>
      </c>
      <c r="I46" s="183">
        <v>1.8658001768174681E-2</v>
      </c>
    </row>
    <row r="47" spans="2:9" ht="14.25" customHeight="1" x14ac:dyDescent="0.2">
      <c r="B47" s="180">
        <v>34</v>
      </c>
      <c r="C47" s="181" t="s">
        <v>196</v>
      </c>
      <c r="D47" s="183">
        <v>0.1745625030482838</v>
      </c>
      <c r="E47" s="182">
        <v>16.338521501558041</v>
      </c>
      <c r="F47" s="183">
        <v>5.5645735036432624</v>
      </c>
      <c r="G47" s="183">
        <v>1.0283359481015699</v>
      </c>
      <c r="H47" s="183">
        <v>0.97809208196546205</v>
      </c>
      <c r="I47" s="183" t="s">
        <v>170</v>
      </c>
    </row>
    <row r="48" spans="2:9" ht="14.25" customHeight="1" x14ac:dyDescent="0.2">
      <c r="B48" s="180">
        <v>35</v>
      </c>
      <c r="C48" s="181" t="s">
        <v>197</v>
      </c>
      <c r="D48" s="183">
        <v>0.81355517406052558</v>
      </c>
      <c r="E48" s="182">
        <v>15.882286423956403</v>
      </c>
      <c r="F48" s="183">
        <v>2.2499043565845667</v>
      </c>
      <c r="G48" s="183">
        <v>1.5570170145751212</v>
      </c>
      <c r="H48" s="183">
        <v>1.3280118884572394</v>
      </c>
      <c r="I48" s="183">
        <v>5.4072912906306482E-2</v>
      </c>
    </row>
    <row r="49" spans="2:10" ht="14.25" customHeight="1" x14ac:dyDescent="0.2">
      <c r="B49" s="180">
        <v>36</v>
      </c>
      <c r="C49" s="181" t="s">
        <v>198</v>
      </c>
      <c r="D49" s="183">
        <v>2.3195856680032583E-2</v>
      </c>
      <c r="E49" s="182">
        <v>15.489517455402604</v>
      </c>
      <c r="F49" s="183">
        <v>0.13551523697394349</v>
      </c>
      <c r="G49" s="183">
        <v>0.28515563959487622</v>
      </c>
      <c r="H49" s="183" t="s">
        <v>170</v>
      </c>
      <c r="I49" s="183">
        <v>2.4859305361485427E-2</v>
      </c>
    </row>
    <row r="50" spans="2:10" ht="14.25" customHeight="1" x14ac:dyDescent="0.2">
      <c r="B50" s="180">
        <v>37</v>
      </c>
      <c r="C50" s="181" t="s">
        <v>187</v>
      </c>
      <c r="D50" s="182">
        <v>2.78701752155615E-2</v>
      </c>
      <c r="E50" s="182">
        <v>9.6940834014942745E-2</v>
      </c>
      <c r="F50" s="182" t="s">
        <v>170</v>
      </c>
      <c r="G50" s="182" t="s">
        <v>170</v>
      </c>
      <c r="H50" s="182" t="s">
        <v>170</v>
      </c>
      <c r="I50" s="182">
        <v>1.7760797553340649E-2</v>
      </c>
    </row>
    <row r="51" spans="2:10" ht="14.25" customHeight="1" x14ac:dyDescent="0.2">
      <c r="B51" s="180">
        <v>42</v>
      </c>
      <c r="C51" s="181" t="s">
        <v>187</v>
      </c>
      <c r="D51" s="182">
        <v>0.13457300683141993</v>
      </c>
      <c r="E51" s="182" t="s">
        <v>170</v>
      </c>
      <c r="F51" s="182" t="s">
        <v>170</v>
      </c>
      <c r="G51" s="182" t="s">
        <v>170</v>
      </c>
      <c r="H51" s="182" t="s">
        <v>170</v>
      </c>
      <c r="I51" s="182">
        <v>3.1290554344287728E-2</v>
      </c>
    </row>
    <row r="52" spans="2:10" ht="14.25" customHeight="1" x14ac:dyDescent="0.2">
      <c r="B52" s="180">
        <v>43</v>
      </c>
      <c r="C52" s="181" t="s">
        <v>187</v>
      </c>
      <c r="D52" s="182">
        <v>2.0657014578536654E-2</v>
      </c>
      <c r="E52" s="182" t="s">
        <v>170</v>
      </c>
      <c r="F52" s="182" t="s">
        <v>170</v>
      </c>
      <c r="G52" s="182" t="s">
        <v>170</v>
      </c>
      <c r="H52" s="182" t="s">
        <v>170</v>
      </c>
      <c r="I52" s="182" t="s">
        <v>170</v>
      </c>
    </row>
    <row r="53" spans="2:10" ht="14.25" customHeight="1" x14ac:dyDescent="0.2">
      <c r="B53" s="180">
        <v>44</v>
      </c>
      <c r="C53" s="181" t="s">
        <v>172</v>
      </c>
      <c r="D53" s="182">
        <v>0.49408327321491063</v>
      </c>
      <c r="E53" s="182">
        <v>0.96874248667649765</v>
      </c>
      <c r="F53" s="182">
        <v>1.9521056223193811</v>
      </c>
      <c r="G53" s="182">
        <v>1.9203560270433888</v>
      </c>
      <c r="H53" s="182">
        <v>1.9473007363199109</v>
      </c>
      <c r="I53" s="182">
        <v>2.9342608340682981</v>
      </c>
    </row>
    <row r="54" spans="2:10" ht="14.25" customHeight="1" x14ac:dyDescent="0.2">
      <c r="B54" s="180">
        <v>45</v>
      </c>
      <c r="C54" s="181" t="s">
        <v>171</v>
      </c>
      <c r="D54" s="182">
        <v>0.10495581026749558</v>
      </c>
      <c r="E54" s="182">
        <v>0.22640160626666311</v>
      </c>
      <c r="F54" s="182">
        <v>0.4403262894204909</v>
      </c>
      <c r="G54" s="182">
        <v>0.46752093655901</v>
      </c>
      <c r="H54" s="182">
        <v>0.44441800628536798</v>
      </c>
      <c r="I54" s="182">
        <v>0.78634278707662808</v>
      </c>
    </row>
    <row r="55" spans="2:10" ht="14.25" customHeight="1" x14ac:dyDescent="0.2">
      <c r="B55" s="180">
        <v>46</v>
      </c>
      <c r="C55" s="181" t="s">
        <v>173</v>
      </c>
      <c r="D55" s="182">
        <v>2.5009609165175939</v>
      </c>
      <c r="E55" s="182">
        <v>5.0048559070568404</v>
      </c>
      <c r="F55" s="182">
        <v>10.007568088260127</v>
      </c>
      <c r="G55" s="182">
        <v>10.0121230363976</v>
      </c>
      <c r="H55" s="182">
        <v>10.008281257394717</v>
      </c>
      <c r="I55" s="182">
        <v>15.003090466822124</v>
      </c>
    </row>
    <row r="56" spans="2:10" ht="14.25" customHeight="1" x14ac:dyDescent="0.2">
      <c r="B56" s="180">
        <v>47</v>
      </c>
      <c r="C56" s="181" t="s">
        <v>187</v>
      </c>
      <c r="D56" s="182" t="s">
        <v>170</v>
      </c>
      <c r="E56" s="182">
        <v>8.3505632146619824E-2</v>
      </c>
      <c r="F56" s="182" t="s">
        <v>170</v>
      </c>
      <c r="G56" s="182" t="s">
        <v>170</v>
      </c>
      <c r="H56" s="182" t="s">
        <v>170</v>
      </c>
      <c r="I56" s="182">
        <v>0.12842751665266197</v>
      </c>
    </row>
    <row r="57" spans="2:10" ht="14.25" customHeight="1" x14ac:dyDescent="0.2">
      <c r="B57" s="180">
        <v>48</v>
      </c>
      <c r="C57" s="181" t="s">
        <v>174</v>
      </c>
      <c r="D57" s="182">
        <v>0.1005577626940703</v>
      </c>
      <c r="E57" s="182">
        <v>0.22533463628795258</v>
      </c>
      <c r="F57" s="182">
        <v>0.44214854102712564</v>
      </c>
      <c r="G57" s="182">
        <v>0.47067518753144866</v>
      </c>
      <c r="H57" s="182">
        <v>0.44470271730955224</v>
      </c>
      <c r="I57" s="182">
        <v>0.77849000623602815</v>
      </c>
    </row>
    <row r="58" spans="2:10" ht="14.25" customHeight="1" x14ac:dyDescent="0.2">
      <c r="B58" s="180">
        <v>49</v>
      </c>
      <c r="C58" s="181" t="s">
        <v>188</v>
      </c>
      <c r="D58" s="182">
        <v>0.49718172700280144</v>
      </c>
      <c r="E58" s="182">
        <v>0.96619624500406576</v>
      </c>
      <c r="F58" s="182">
        <v>1.9443062063519176</v>
      </c>
      <c r="G58" s="182">
        <v>1.9133214826751881</v>
      </c>
      <c r="H58" s="182">
        <v>1.9452864058238073</v>
      </c>
      <c r="I58" s="182">
        <v>2.901143362878646</v>
      </c>
    </row>
    <row r="59" spans="2:10" ht="14.25" customHeight="1" x14ac:dyDescent="0.2">
      <c r="B59" s="180">
        <v>50</v>
      </c>
      <c r="C59" s="181" t="s">
        <v>187</v>
      </c>
      <c r="D59" s="182" t="s">
        <v>170</v>
      </c>
      <c r="E59" s="182" t="s">
        <v>170</v>
      </c>
      <c r="F59" s="182" t="s">
        <v>170</v>
      </c>
      <c r="G59" s="182" t="s">
        <v>170</v>
      </c>
      <c r="H59" s="182" t="s">
        <v>170</v>
      </c>
      <c r="I59" s="182">
        <v>9.9157197389441371E-2</v>
      </c>
    </row>
    <row r="60" spans="2:10" ht="14.25" customHeight="1" x14ac:dyDescent="0.2">
      <c r="B60" s="180">
        <v>51</v>
      </c>
      <c r="C60" s="181" t="s">
        <v>187</v>
      </c>
      <c r="D60" s="182">
        <v>2.4536132442135601E-2</v>
      </c>
      <c r="E60" s="182">
        <v>8.1981787294518924E-2</v>
      </c>
      <c r="F60" s="182" t="s">
        <v>170</v>
      </c>
      <c r="G60" s="182" t="s">
        <v>170</v>
      </c>
      <c r="H60" s="182" t="s">
        <v>170</v>
      </c>
      <c r="I60" s="182">
        <v>2.5239137319192098E-2</v>
      </c>
    </row>
    <row r="61" spans="2:10" ht="14.25" customHeight="1" x14ac:dyDescent="0.2">
      <c r="B61" s="180">
        <v>52</v>
      </c>
      <c r="C61" s="181" t="s">
        <v>199</v>
      </c>
      <c r="D61" s="182">
        <v>2.3859849888821016E-2</v>
      </c>
      <c r="E61" s="183">
        <v>3.4885272037876902</v>
      </c>
      <c r="F61" s="183">
        <v>1.9538651920525689</v>
      </c>
      <c r="G61" s="182" t="s">
        <v>170</v>
      </c>
      <c r="H61" s="182">
        <v>0.14115805887552296</v>
      </c>
      <c r="I61" s="182">
        <v>1.8934647317160262E-2</v>
      </c>
    </row>
    <row r="62" spans="2:10" ht="14.25" customHeight="1" x14ac:dyDescent="0.2">
      <c r="B62" s="180">
        <v>53</v>
      </c>
      <c r="C62" s="181" t="s">
        <v>200</v>
      </c>
      <c r="D62" s="182">
        <v>2.4504234494432949E-2</v>
      </c>
      <c r="E62" s="183">
        <v>1.1945445353825059</v>
      </c>
      <c r="F62" s="183">
        <v>0.73425950311967636</v>
      </c>
      <c r="G62" s="182" t="s">
        <v>170</v>
      </c>
      <c r="H62" s="182" t="s">
        <v>170</v>
      </c>
      <c r="I62" s="182">
        <v>2.0065689231556001E-2</v>
      </c>
    </row>
    <row r="63" spans="2:10" ht="14.25" customHeight="1" x14ac:dyDescent="0.2">
      <c r="B63" s="180">
        <v>54</v>
      </c>
      <c r="C63" s="181" t="s">
        <v>201</v>
      </c>
      <c r="D63" s="182">
        <v>2.7995965794937794E-2</v>
      </c>
      <c r="E63" s="183">
        <v>1.514696817088429</v>
      </c>
      <c r="F63" s="183">
        <v>1.0404738867377781</v>
      </c>
      <c r="G63" s="182" t="s">
        <v>170</v>
      </c>
      <c r="H63" s="182">
        <v>0.26555542311722274</v>
      </c>
      <c r="I63" s="182">
        <v>5.2434030139732975E-2</v>
      </c>
      <c r="J63" s="34">
        <f>E63*10</f>
        <v>15.146968170884289</v>
      </c>
    </row>
    <row r="64" spans="2:10" ht="14.25" customHeight="1" x14ac:dyDescent="0.2">
      <c r="B64" s="180">
        <v>55</v>
      </c>
      <c r="C64" s="181" t="s">
        <v>202</v>
      </c>
      <c r="D64" s="182">
        <v>2.8634085966055055E-2</v>
      </c>
      <c r="E64" s="183">
        <v>2.3736438656415677</v>
      </c>
      <c r="F64" s="183">
        <v>1.5875791872889686</v>
      </c>
      <c r="G64" s="182" t="s">
        <v>170</v>
      </c>
      <c r="H64" s="182">
        <v>0.44034663863953333</v>
      </c>
      <c r="I64" s="182" t="s">
        <v>170</v>
      </c>
    </row>
    <row r="65" spans="2:9" ht="14.25" customHeight="1" x14ac:dyDescent="0.2">
      <c r="B65" s="180">
        <v>56</v>
      </c>
      <c r="C65" s="181" t="s">
        <v>203</v>
      </c>
      <c r="D65" s="182">
        <v>4.5807526450998309E-2</v>
      </c>
      <c r="E65" s="183">
        <v>2.1680891741294706</v>
      </c>
      <c r="F65" s="183">
        <v>1.1939594084258478</v>
      </c>
      <c r="G65" s="182" t="s">
        <v>170</v>
      </c>
      <c r="H65" s="182">
        <v>0.69146176197003451</v>
      </c>
      <c r="I65" s="182">
        <v>3.2754816999046282E-2</v>
      </c>
    </row>
    <row r="66" spans="2:9" ht="14.25" customHeight="1" x14ac:dyDescent="0.2">
      <c r="B66" s="180">
        <v>57</v>
      </c>
      <c r="C66" s="181" t="s">
        <v>204</v>
      </c>
      <c r="D66" s="182">
        <v>2.4411304372425582E-2</v>
      </c>
      <c r="E66" s="183">
        <v>0.61219900697606988</v>
      </c>
      <c r="F66" s="182">
        <v>0.34287836259394455</v>
      </c>
      <c r="G66" s="182" t="s">
        <v>170</v>
      </c>
      <c r="H66" s="182">
        <v>0.15803430483404388</v>
      </c>
      <c r="I66" s="182">
        <v>1.6444133118028927E-2</v>
      </c>
    </row>
    <row r="67" spans="2:9" ht="14.25" customHeight="1" x14ac:dyDescent="0.2">
      <c r="B67" s="180">
        <v>58</v>
      </c>
      <c r="C67" s="181" t="s">
        <v>205</v>
      </c>
      <c r="D67" s="182">
        <v>3.360502989262365E-2</v>
      </c>
      <c r="E67" s="183">
        <v>1.6120613099237608</v>
      </c>
      <c r="F67" s="182">
        <v>0.22933910339824548</v>
      </c>
      <c r="G67" s="182">
        <v>0.22585368238677378</v>
      </c>
      <c r="H67" s="182">
        <v>0.16291709889880363</v>
      </c>
      <c r="I67" s="182">
        <v>0.3976609556543178</v>
      </c>
    </row>
    <row r="68" spans="2:9" ht="14.25" customHeight="1" x14ac:dyDescent="0.2">
      <c r="B68" s="180">
        <v>59</v>
      </c>
      <c r="C68" s="181" t="s">
        <v>206</v>
      </c>
      <c r="D68" s="182">
        <v>2.7289881115755171E-2</v>
      </c>
      <c r="E68" s="183">
        <v>1.5706110584531772</v>
      </c>
      <c r="F68" s="182">
        <v>0.17788176257502022</v>
      </c>
      <c r="G68" s="182">
        <v>0.7110113639275919</v>
      </c>
      <c r="H68" s="182">
        <v>0.22477768667843473</v>
      </c>
      <c r="I68" s="182">
        <v>6.1123983050295642E-2</v>
      </c>
    </row>
    <row r="69" spans="2:9" ht="14.25" customHeight="1" x14ac:dyDescent="0.2">
      <c r="B69" s="180">
        <v>60</v>
      </c>
      <c r="C69" s="181" t="s">
        <v>207</v>
      </c>
      <c r="D69" s="182">
        <v>5.5022601716698455E-2</v>
      </c>
      <c r="E69" s="183">
        <v>1.5552806777930102</v>
      </c>
      <c r="F69" s="182">
        <v>0.15596101597530643</v>
      </c>
      <c r="G69" s="182">
        <v>0.51172885300137261</v>
      </c>
      <c r="H69" s="182">
        <v>0.24178205259783858</v>
      </c>
      <c r="I69" s="182">
        <v>2.4997582811574767E-2</v>
      </c>
    </row>
    <row r="70" spans="2:9" ht="14.25" customHeight="1" x14ac:dyDescent="0.2">
      <c r="B70" s="180">
        <v>61</v>
      </c>
      <c r="C70" s="181" t="s">
        <v>208</v>
      </c>
      <c r="D70" s="182">
        <v>2.9300465185425856E-2</v>
      </c>
      <c r="E70" s="183">
        <v>1.5088883773870938</v>
      </c>
      <c r="F70" s="182">
        <v>0.14886453244578304</v>
      </c>
      <c r="G70" s="182">
        <v>0.36540710328758208</v>
      </c>
      <c r="H70" s="182">
        <v>0.20483367943432862</v>
      </c>
      <c r="I70" s="182">
        <v>1.593591893805868E-2</v>
      </c>
    </row>
    <row r="71" spans="2:9" ht="14.25" customHeight="1" x14ac:dyDescent="0.2">
      <c r="B71" s="180">
        <v>62</v>
      </c>
      <c r="C71" s="181" t="s">
        <v>209</v>
      </c>
      <c r="D71" s="182">
        <v>3.4728275240931292E-2</v>
      </c>
      <c r="E71" s="183">
        <v>1.5363426571264984</v>
      </c>
      <c r="F71" s="182">
        <v>0.187109429801738</v>
      </c>
      <c r="G71" s="182">
        <v>0.5269596096150917</v>
      </c>
      <c r="H71" s="182">
        <v>0.18345899929369666</v>
      </c>
      <c r="I71" s="182">
        <v>1.443679380441632E-2</v>
      </c>
    </row>
    <row r="72" spans="2:9" ht="14.25" customHeight="1" x14ac:dyDescent="0.2">
      <c r="B72" s="180">
        <v>63</v>
      </c>
      <c r="C72" s="181" t="s">
        <v>210</v>
      </c>
      <c r="D72" s="182">
        <v>2.8586043280923117E-2</v>
      </c>
      <c r="E72" s="183">
        <v>1.5726474946266429</v>
      </c>
      <c r="F72" s="182">
        <v>0.23260751537083352</v>
      </c>
      <c r="G72" s="182">
        <v>0.90475981816047901</v>
      </c>
      <c r="H72" s="182">
        <v>0.15571390998694232</v>
      </c>
      <c r="I72" s="182" t="s">
        <v>170</v>
      </c>
    </row>
    <row r="73" spans="2:9" ht="14.25" customHeight="1" x14ac:dyDescent="0.2">
      <c r="B73" s="180">
        <v>64</v>
      </c>
      <c r="C73" s="181" t="s">
        <v>211</v>
      </c>
      <c r="D73" s="182">
        <v>2.8642100757246769E-2</v>
      </c>
      <c r="E73" s="183">
        <v>1.5969426517658969</v>
      </c>
      <c r="F73" s="182">
        <v>0.37064195525424382</v>
      </c>
      <c r="G73" s="182">
        <v>0.3504667636431924</v>
      </c>
      <c r="H73" s="182">
        <v>0.37689166912447047</v>
      </c>
      <c r="I73" s="182" t="s">
        <v>170</v>
      </c>
    </row>
    <row r="74" spans="2:9" ht="14.25" customHeight="1" x14ac:dyDescent="0.2">
      <c r="B74" s="180">
        <v>65</v>
      </c>
      <c r="C74" s="181" t="s">
        <v>212</v>
      </c>
      <c r="D74" s="182">
        <v>2.3091397236801724E-2</v>
      </c>
      <c r="E74" s="183">
        <v>1.5526313606918256</v>
      </c>
      <c r="F74" s="182">
        <v>0.62467815650448122</v>
      </c>
      <c r="G74" s="182">
        <v>0.38742232299035717</v>
      </c>
      <c r="H74" s="182">
        <v>0.21353871899876181</v>
      </c>
      <c r="I74" s="182" t="s">
        <v>170</v>
      </c>
    </row>
    <row r="75" spans="2:9" ht="14.25" customHeight="1" x14ac:dyDescent="0.2">
      <c r="B75" s="180">
        <v>66</v>
      </c>
      <c r="C75" s="181" t="s">
        <v>213</v>
      </c>
      <c r="D75" s="182">
        <v>4.3127822471865404E-2</v>
      </c>
      <c r="E75" s="183">
        <v>1.5627327527095913</v>
      </c>
      <c r="F75" s="182">
        <v>0.41396856163607199</v>
      </c>
      <c r="G75" s="182">
        <v>0.5142135315167462</v>
      </c>
      <c r="H75" s="182">
        <v>0.24132651495914378</v>
      </c>
      <c r="I75" s="182">
        <v>1.5923213818197272E-2</v>
      </c>
    </row>
    <row r="76" spans="2:9" ht="14.25" customHeight="1" x14ac:dyDescent="0.2">
      <c r="B76" s="180">
        <v>67</v>
      </c>
      <c r="C76" s="181" t="s">
        <v>214</v>
      </c>
      <c r="D76" s="182">
        <v>2.286382783517724E-2</v>
      </c>
      <c r="E76" s="183">
        <v>1.5142705862614245</v>
      </c>
      <c r="F76" s="182">
        <v>0.13034203884222587</v>
      </c>
      <c r="G76" s="182">
        <v>0.2572429164884586</v>
      </c>
      <c r="H76" s="182" t="s">
        <v>170</v>
      </c>
      <c r="I76" s="182" t="s">
        <v>170</v>
      </c>
    </row>
    <row r="77" spans="2:9" ht="14.25" customHeight="1" x14ac:dyDescent="0.2">
      <c r="B77" s="180">
        <v>68</v>
      </c>
      <c r="C77" s="181" t="s">
        <v>187</v>
      </c>
      <c r="D77" s="182" t="s">
        <v>170</v>
      </c>
      <c r="E77" s="182" t="s">
        <v>170</v>
      </c>
      <c r="F77" s="182">
        <v>0.12775865020087887</v>
      </c>
      <c r="G77" s="182" t="s">
        <v>170</v>
      </c>
      <c r="H77" s="182" t="s">
        <v>170</v>
      </c>
      <c r="I77" s="182" t="s">
        <v>170</v>
      </c>
    </row>
    <row r="78" spans="2:9" ht="14.25" customHeight="1" x14ac:dyDescent="0.2">
      <c r="B78" s="180">
        <v>71</v>
      </c>
      <c r="C78" s="181" t="s">
        <v>187</v>
      </c>
      <c r="D78" s="182" t="s">
        <v>170</v>
      </c>
      <c r="E78" s="182" t="s">
        <v>170</v>
      </c>
      <c r="F78" s="182">
        <v>0.20200085202205009</v>
      </c>
      <c r="G78" s="182" t="s">
        <v>170</v>
      </c>
      <c r="H78" s="182" t="s">
        <v>170</v>
      </c>
      <c r="I78" s="182" t="s">
        <v>170</v>
      </c>
    </row>
    <row r="79" spans="2:9" ht="14.25" customHeight="1" x14ac:dyDescent="0.2">
      <c r="B79" s="180">
        <v>72</v>
      </c>
      <c r="C79" s="181" t="s">
        <v>188</v>
      </c>
      <c r="D79" s="182">
        <v>0.47077354277032546</v>
      </c>
      <c r="E79" s="182">
        <v>0.96111211912639827</v>
      </c>
      <c r="F79" s="182">
        <v>1.9410557034860287</v>
      </c>
      <c r="G79" s="182">
        <v>1.8975098921228104</v>
      </c>
      <c r="H79" s="182">
        <v>1.9284030420896818</v>
      </c>
      <c r="I79" s="182">
        <v>2.8949757793442545</v>
      </c>
    </row>
    <row r="80" spans="2:9" ht="14.25" customHeight="1" x14ac:dyDescent="0.2">
      <c r="B80" s="180">
        <v>73</v>
      </c>
      <c r="C80" s="181" t="s">
        <v>187</v>
      </c>
      <c r="D80" s="182" t="s">
        <v>170</v>
      </c>
      <c r="E80" s="182" t="s">
        <v>170</v>
      </c>
      <c r="F80" s="182" t="s">
        <v>170</v>
      </c>
      <c r="G80" s="182" t="s">
        <v>170</v>
      </c>
      <c r="H80" s="182" t="s">
        <v>170</v>
      </c>
      <c r="I80" s="182">
        <v>7.149007624602409E-2</v>
      </c>
    </row>
    <row r="81" spans="2:9" ht="14.25" customHeight="1" x14ac:dyDescent="0.2">
      <c r="B81" s="180">
        <v>74</v>
      </c>
      <c r="C81" s="181" t="s">
        <v>215</v>
      </c>
      <c r="D81" s="182" t="s">
        <v>170</v>
      </c>
      <c r="E81" s="182" t="s">
        <v>170</v>
      </c>
      <c r="F81" s="182" t="s">
        <v>170</v>
      </c>
      <c r="G81" s="182" t="s">
        <v>170</v>
      </c>
      <c r="H81" s="182" t="s">
        <v>170</v>
      </c>
      <c r="I81" s="182" t="s">
        <v>170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workbookViewId="0">
      <selection activeCell="P28" sqref="P28"/>
    </sheetView>
  </sheetViews>
  <sheetFormatPr defaultRowHeight="12.75" x14ac:dyDescent="0.2"/>
  <sheetData>
    <row r="1" spans="1:47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</row>
    <row r="2" spans="1:47" ht="15" x14ac:dyDescent="0.25">
      <c r="A2" s="74"/>
      <c r="B2" s="293"/>
      <c r="C2" s="293"/>
      <c r="D2" s="294" t="s">
        <v>238</v>
      </c>
      <c r="E2" s="293"/>
      <c r="F2" s="294" t="s">
        <v>239</v>
      </c>
      <c r="G2" s="294"/>
      <c r="H2" s="294" t="s">
        <v>240</v>
      </c>
      <c r="I2" s="293"/>
      <c r="J2" s="294" t="s">
        <v>241</v>
      </c>
      <c r="K2" s="195" t="s">
        <v>242</v>
      </c>
      <c r="L2" s="195" t="s">
        <v>243</v>
      </c>
      <c r="M2" s="196" t="s">
        <v>244</v>
      </c>
      <c r="N2" s="74"/>
      <c r="O2" s="111" t="s">
        <v>245</v>
      </c>
      <c r="P2" s="74"/>
      <c r="Q2" s="111" t="s">
        <v>246</v>
      </c>
      <c r="R2" s="74"/>
      <c r="S2" s="74" t="s">
        <v>247</v>
      </c>
      <c r="T2" s="74" t="s">
        <v>248</v>
      </c>
      <c r="U2" s="74" t="s">
        <v>249</v>
      </c>
      <c r="V2" s="74" t="s">
        <v>217</v>
      </c>
      <c r="W2" s="74" t="s">
        <v>218</v>
      </c>
      <c r="X2" s="74" t="s">
        <v>250</v>
      </c>
      <c r="Y2" s="74" t="s">
        <v>251</v>
      </c>
      <c r="Z2" s="74" t="s">
        <v>252</v>
      </c>
      <c r="AA2" s="74" t="s">
        <v>253</v>
      </c>
      <c r="AB2" s="74" t="s">
        <v>254</v>
      </c>
      <c r="AC2" s="74" t="s">
        <v>255</v>
      </c>
      <c r="AD2" s="74" t="s">
        <v>256</v>
      </c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15.75" x14ac:dyDescent="0.25">
      <c r="A3" s="74"/>
      <c r="B3" s="294" t="s">
        <v>257</v>
      </c>
      <c r="C3" s="293"/>
      <c r="D3" s="294" t="s">
        <v>258</v>
      </c>
      <c r="E3" s="293"/>
      <c r="F3" s="294" t="s">
        <v>258</v>
      </c>
      <c r="G3" s="294"/>
      <c r="H3" s="294" t="s">
        <v>258</v>
      </c>
      <c r="I3" s="293"/>
      <c r="J3" s="294" t="s">
        <v>259</v>
      </c>
      <c r="K3" s="74"/>
      <c r="L3" s="197" t="s">
        <v>260</v>
      </c>
      <c r="M3" s="74"/>
      <c r="N3" s="74"/>
      <c r="O3" s="74"/>
      <c r="P3" s="74"/>
      <c r="Q3" s="74" t="s">
        <v>261</v>
      </c>
      <c r="R3" s="74"/>
      <c r="S3" s="74" t="s">
        <v>262</v>
      </c>
      <c r="T3" s="74" t="s">
        <v>263</v>
      </c>
      <c r="U3" s="74"/>
      <c r="V3" s="74" t="s">
        <v>219</v>
      </c>
      <c r="W3" s="74" t="s">
        <v>220</v>
      </c>
      <c r="X3" s="74" t="s">
        <v>264</v>
      </c>
      <c r="Y3" s="74" t="s">
        <v>264</v>
      </c>
      <c r="Z3" s="74" t="s">
        <v>265</v>
      </c>
      <c r="AA3" s="74" t="s">
        <v>264</v>
      </c>
      <c r="AB3" s="74" t="s">
        <v>264</v>
      </c>
      <c r="AC3" s="74" t="s">
        <v>264</v>
      </c>
      <c r="AD3" s="74" t="s">
        <v>264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</row>
    <row r="4" spans="1:47" x14ac:dyDescent="0.2">
      <c r="A4" s="74"/>
      <c r="B4" s="294">
        <v>1</v>
      </c>
      <c r="C4" s="293" t="s">
        <v>109</v>
      </c>
      <c r="D4" s="294">
        <v>10</v>
      </c>
      <c r="E4" s="293"/>
      <c r="F4" s="294">
        <v>13</v>
      </c>
      <c r="G4" s="294"/>
      <c r="H4" s="294">
        <v>8</v>
      </c>
      <c r="I4" s="295"/>
      <c r="J4" s="294">
        <v>2231</v>
      </c>
      <c r="K4" s="195">
        <v>49.3</v>
      </c>
      <c r="L4" s="195">
        <v>20.9</v>
      </c>
      <c r="M4" s="196">
        <v>7.46</v>
      </c>
      <c r="N4" s="74"/>
      <c r="O4" s="111">
        <v>0</v>
      </c>
      <c r="P4" s="74"/>
      <c r="Q4" s="111">
        <v>0.27</v>
      </c>
      <c r="R4" s="74"/>
      <c r="S4" s="199">
        <v>3.5999999999999997E-2</v>
      </c>
      <c r="T4" s="74">
        <v>2E-3</v>
      </c>
      <c r="U4" s="74"/>
      <c r="V4" s="74"/>
      <c r="W4" s="74"/>
      <c r="X4" s="190">
        <v>4.3799999999999999E-2</v>
      </c>
      <c r="Y4" s="74" t="s">
        <v>313</v>
      </c>
      <c r="Z4" s="74" t="s">
        <v>314</v>
      </c>
      <c r="AA4" s="190">
        <v>0.5181</v>
      </c>
      <c r="AB4" s="74" t="s">
        <v>315</v>
      </c>
      <c r="AC4" s="74" t="s">
        <v>316</v>
      </c>
      <c r="AD4" s="74" t="s">
        <v>317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</row>
    <row r="5" spans="1:47" ht="15" x14ac:dyDescent="0.25">
      <c r="A5" s="74"/>
      <c r="B5" s="294">
        <v>2</v>
      </c>
      <c r="C5" s="293" t="s">
        <v>144</v>
      </c>
      <c r="D5" s="294">
        <v>6</v>
      </c>
      <c r="E5" s="293"/>
      <c r="F5" s="294">
        <v>10</v>
      </c>
      <c r="G5" s="294"/>
      <c r="H5" s="294">
        <v>6</v>
      </c>
      <c r="I5" s="295"/>
      <c r="J5" s="294">
        <v>1710</v>
      </c>
      <c r="K5" s="195">
        <v>164.2</v>
      </c>
      <c r="L5" s="200">
        <v>20.8</v>
      </c>
      <c r="M5" s="196">
        <v>7.82</v>
      </c>
      <c r="N5" s="74"/>
      <c r="O5" s="111">
        <v>5.09</v>
      </c>
      <c r="P5" s="74"/>
      <c r="Q5" s="199">
        <v>1.64</v>
      </c>
      <c r="R5" s="74"/>
      <c r="S5" s="199">
        <v>2E-3</v>
      </c>
      <c r="T5" s="74">
        <v>0</v>
      </c>
      <c r="U5" s="74"/>
      <c r="V5" s="74" t="s">
        <v>221</v>
      </c>
      <c r="W5" s="74" t="s">
        <v>222</v>
      </c>
      <c r="X5" s="74" t="s">
        <v>318</v>
      </c>
      <c r="Y5" s="74" t="s">
        <v>319</v>
      </c>
      <c r="Z5" s="74" t="s">
        <v>320</v>
      </c>
      <c r="AA5" s="74" t="s">
        <v>321</v>
      </c>
      <c r="AB5" s="74" t="s">
        <v>322</v>
      </c>
      <c r="AC5" s="74" t="s">
        <v>323</v>
      </c>
      <c r="AD5" s="74" t="s">
        <v>324</v>
      </c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</row>
    <row r="6" spans="1:47" x14ac:dyDescent="0.2">
      <c r="A6" s="74"/>
      <c r="B6" s="294">
        <v>3</v>
      </c>
      <c r="C6" s="293" t="s">
        <v>146</v>
      </c>
      <c r="D6" s="294">
        <v>4</v>
      </c>
      <c r="E6" s="293"/>
      <c r="F6" s="294">
        <v>31</v>
      </c>
      <c r="G6" s="294"/>
      <c r="H6" s="294">
        <v>10</v>
      </c>
      <c r="I6" s="295"/>
      <c r="J6" s="294">
        <v>6182</v>
      </c>
      <c r="K6" s="195">
        <v>236</v>
      </c>
      <c r="L6" s="195">
        <v>18.2</v>
      </c>
      <c r="M6" s="191">
        <v>7.38</v>
      </c>
      <c r="N6" s="196">
        <v>7.38</v>
      </c>
      <c r="O6" s="196">
        <v>4.8600000000000003</v>
      </c>
      <c r="P6" s="74"/>
      <c r="Q6" s="111">
        <v>1.1599999999999999</v>
      </c>
      <c r="R6" s="74"/>
      <c r="S6" s="111">
        <v>0.153</v>
      </c>
      <c r="T6" s="74">
        <v>1.2E-2</v>
      </c>
      <c r="U6" s="74"/>
      <c r="V6" s="74"/>
      <c r="W6" s="74"/>
      <c r="X6" s="74" t="s">
        <v>325</v>
      </c>
      <c r="Y6" s="74" t="s">
        <v>326</v>
      </c>
      <c r="Z6" s="74" t="s">
        <v>327</v>
      </c>
      <c r="AA6" s="74" t="s">
        <v>328</v>
      </c>
      <c r="AB6" s="74" t="s">
        <v>329</v>
      </c>
      <c r="AC6" s="74" t="s">
        <v>330</v>
      </c>
      <c r="AD6" s="74" t="s">
        <v>331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</row>
    <row r="7" spans="1:47" ht="15" x14ac:dyDescent="0.25">
      <c r="A7" s="74"/>
      <c r="B7" s="294">
        <v>4</v>
      </c>
      <c r="C7" s="293" t="s">
        <v>111</v>
      </c>
      <c r="D7" s="294">
        <v>3</v>
      </c>
      <c r="E7" s="293"/>
      <c r="F7" s="294">
        <v>20</v>
      </c>
      <c r="G7" s="294"/>
      <c r="H7" s="294">
        <v>7</v>
      </c>
      <c r="I7" s="295"/>
      <c r="J7" s="294">
        <v>8850</v>
      </c>
      <c r="K7" s="196">
        <v>216</v>
      </c>
      <c r="L7" s="200">
        <v>42236</v>
      </c>
      <c r="M7" s="111">
        <v>7.83</v>
      </c>
      <c r="N7" s="74"/>
      <c r="O7" s="111">
        <v>1.19</v>
      </c>
      <c r="P7" s="74"/>
      <c r="Q7" s="199">
        <v>1.78</v>
      </c>
      <c r="R7" s="74"/>
      <c r="S7" s="199">
        <v>0.188</v>
      </c>
      <c r="T7" s="74">
        <v>1.2E-2</v>
      </c>
      <c r="U7" s="74"/>
      <c r="V7" s="74" t="s">
        <v>223</v>
      </c>
      <c r="W7" s="74" t="s">
        <v>224</v>
      </c>
      <c r="X7" s="74" t="s">
        <v>332</v>
      </c>
      <c r="Y7" s="74" t="s">
        <v>333</v>
      </c>
      <c r="Z7" s="74" t="s">
        <v>334</v>
      </c>
      <c r="AA7" s="191" t="s">
        <v>335</v>
      </c>
      <c r="AB7" s="74" t="s">
        <v>336</v>
      </c>
      <c r="AC7" s="74" t="s">
        <v>330</v>
      </c>
      <c r="AD7" s="74" t="s">
        <v>337</v>
      </c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</row>
    <row r="8" spans="1:47" ht="15" x14ac:dyDescent="0.25">
      <c r="A8" s="74"/>
      <c r="B8" s="294">
        <v>5</v>
      </c>
      <c r="C8" s="293" t="s">
        <v>110</v>
      </c>
      <c r="D8" s="294">
        <v>2</v>
      </c>
      <c r="E8" s="293"/>
      <c r="F8" s="294">
        <v>9</v>
      </c>
      <c r="G8" s="294"/>
      <c r="H8" s="294">
        <v>6</v>
      </c>
      <c r="I8" s="295"/>
      <c r="J8" s="294">
        <v>5470</v>
      </c>
      <c r="K8" s="196">
        <v>224</v>
      </c>
      <c r="L8" s="196">
        <v>20.8</v>
      </c>
      <c r="M8" s="111">
        <v>6.81</v>
      </c>
      <c r="N8" s="74"/>
      <c r="O8" s="111">
        <v>0</v>
      </c>
      <c r="P8" s="74"/>
      <c r="Q8" s="111">
        <v>1.1299999999999999</v>
      </c>
      <c r="R8" s="74"/>
      <c r="S8" s="199">
        <v>0.193</v>
      </c>
      <c r="T8" s="74">
        <v>1.9E-2</v>
      </c>
      <c r="U8" s="74"/>
      <c r="V8" s="74" t="s">
        <v>225</v>
      </c>
      <c r="W8" s="74" t="s">
        <v>226</v>
      </c>
      <c r="X8" s="74" t="s">
        <v>338</v>
      </c>
      <c r="Y8" s="74" t="s">
        <v>339</v>
      </c>
      <c r="Z8" s="74" t="s">
        <v>340</v>
      </c>
      <c r="AA8" s="74" t="s">
        <v>341</v>
      </c>
      <c r="AB8" s="74" t="s">
        <v>342</v>
      </c>
      <c r="AC8" s="74" t="s">
        <v>343</v>
      </c>
      <c r="AD8" s="74" t="s">
        <v>344</v>
      </c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</row>
    <row r="9" spans="1:47" x14ac:dyDescent="0.2">
      <c r="A9" s="74"/>
      <c r="B9" s="294">
        <v>6</v>
      </c>
      <c r="C9" s="293" t="s">
        <v>103</v>
      </c>
      <c r="D9" s="294">
        <v>2</v>
      </c>
      <c r="E9" s="293"/>
      <c r="F9" s="294">
        <v>22</v>
      </c>
      <c r="G9" s="294"/>
      <c r="H9" s="294">
        <v>14</v>
      </c>
      <c r="I9" s="295"/>
      <c r="J9" s="294">
        <v>5613</v>
      </c>
      <c r="K9" s="196">
        <v>45.2</v>
      </c>
      <c r="L9" s="201">
        <v>20.9</v>
      </c>
      <c r="M9" s="111">
        <v>7.02</v>
      </c>
      <c r="N9" s="74"/>
      <c r="O9" s="111">
        <v>0</v>
      </c>
      <c r="P9" s="74"/>
      <c r="Q9" s="199">
        <v>0.24</v>
      </c>
      <c r="R9" s="74"/>
      <c r="S9" s="199">
        <v>0.189</v>
      </c>
      <c r="T9" s="74">
        <v>1.9E-2</v>
      </c>
      <c r="U9" s="74"/>
      <c r="V9" s="74" t="s">
        <v>227</v>
      </c>
      <c r="W9" s="74" t="s">
        <v>228</v>
      </c>
      <c r="X9" s="74" t="s">
        <v>345</v>
      </c>
      <c r="Y9" s="74" t="s">
        <v>346</v>
      </c>
      <c r="Z9" s="74" t="s">
        <v>347</v>
      </c>
      <c r="AA9" s="74" t="s">
        <v>348</v>
      </c>
      <c r="AB9" s="74" t="s">
        <v>349</v>
      </c>
      <c r="AC9" s="74" t="s">
        <v>350</v>
      </c>
      <c r="AD9" s="74" t="s">
        <v>351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47" x14ac:dyDescent="0.2">
      <c r="A10" s="74"/>
      <c r="B10" s="294">
        <v>7</v>
      </c>
      <c r="C10" s="293" t="s">
        <v>108</v>
      </c>
      <c r="D10" s="294">
        <v>64</v>
      </c>
      <c r="E10" s="293"/>
      <c r="F10" s="294">
        <v>198</v>
      </c>
      <c r="G10" s="294"/>
      <c r="H10" s="294">
        <v>67</v>
      </c>
      <c r="I10" s="295"/>
      <c r="J10" s="294">
        <v>5960</v>
      </c>
      <c r="K10" s="196">
        <v>228</v>
      </c>
      <c r="L10" s="111">
        <v>21</v>
      </c>
      <c r="M10" s="111">
        <v>7.36</v>
      </c>
      <c r="N10" s="74"/>
      <c r="O10" s="111">
        <v>5.51</v>
      </c>
      <c r="P10" s="74"/>
      <c r="Q10" s="111">
        <v>1.64</v>
      </c>
      <c r="R10" s="74"/>
      <c r="S10" s="199">
        <v>0.17899999999999999</v>
      </c>
      <c r="T10" s="74">
        <v>1.7999999999999999E-2</v>
      </c>
      <c r="U10" s="74"/>
      <c r="V10" s="74" t="s">
        <v>229</v>
      </c>
      <c r="W10" s="74" t="s">
        <v>230</v>
      </c>
      <c r="X10" s="74" t="s">
        <v>352</v>
      </c>
      <c r="Y10" s="74" t="s">
        <v>353</v>
      </c>
      <c r="Z10" s="74" t="s">
        <v>354</v>
      </c>
      <c r="AA10" s="74" t="s">
        <v>355</v>
      </c>
      <c r="AB10" s="74" t="s">
        <v>356</v>
      </c>
      <c r="AC10" s="74" t="s">
        <v>357</v>
      </c>
      <c r="AD10" s="74" t="s">
        <v>358</v>
      </c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</row>
    <row r="11" spans="1:47" x14ac:dyDescent="0.2">
      <c r="A11" s="74"/>
      <c r="B11" s="294">
        <v>8</v>
      </c>
      <c r="C11" s="293" t="s">
        <v>105</v>
      </c>
      <c r="D11" s="294">
        <v>6</v>
      </c>
      <c r="E11" s="293"/>
      <c r="F11" s="294">
        <v>22</v>
      </c>
      <c r="G11" s="294"/>
      <c r="H11" s="294">
        <v>16</v>
      </c>
      <c r="I11" s="295"/>
      <c r="J11" s="294">
        <v>8991</v>
      </c>
      <c r="K11" s="196">
        <v>200</v>
      </c>
      <c r="L11" s="201">
        <v>20.7</v>
      </c>
      <c r="M11" s="111">
        <v>7.27</v>
      </c>
      <c r="N11" s="202"/>
      <c r="O11" s="111">
        <v>0.22</v>
      </c>
      <c r="P11" s="74"/>
      <c r="Q11" s="199">
        <v>0.81</v>
      </c>
      <c r="R11" s="74"/>
      <c r="S11" s="199">
        <v>0.30299999999999999</v>
      </c>
      <c r="T11" s="74">
        <v>3.1E-2</v>
      </c>
      <c r="U11" s="74"/>
      <c r="V11" s="74" t="s">
        <v>231</v>
      </c>
      <c r="W11" s="74" t="s">
        <v>232</v>
      </c>
      <c r="X11" s="74" t="s">
        <v>359</v>
      </c>
      <c r="Y11" s="74" t="s">
        <v>360</v>
      </c>
      <c r="Z11" s="74" t="s">
        <v>361</v>
      </c>
      <c r="AA11" s="74" t="s">
        <v>362</v>
      </c>
      <c r="AB11" s="191" t="s">
        <v>363</v>
      </c>
      <c r="AC11" s="74" t="s">
        <v>364</v>
      </c>
      <c r="AD11" s="74" t="s">
        <v>365</v>
      </c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</row>
    <row r="12" spans="1:47" x14ac:dyDescent="0.2">
      <c r="A12" s="74"/>
      <c r="B12" s="294">
        <v>9</v>
      </c>
      <c r="C12" s="293" t="s">
        <v>104</v>
      </c>
      <c r="D12" s="294">
        <v>36</v>
      </c>
      <c r="E12" s="293"/>
      <c r="F12" s="294">
        <v>86</v>
      </c>
      <c r="G12" s="294"/>
      <c r="H12" s="294">
        <v>68</v>
      </c>
      <c r="I12" s="295"/>
      <c r="J12" s="294">
        <v>9440</v>
      </c>
      <c r="K12" s="196">
        <v>207</v>
      </c>
      <c r="L12" s="111">
        <v>21</v>
      </c>
      <c r="M12" s="111">
        <v>7.18</v>
      </c>
      <c r="N12" s="202"/>
      <c r="O12" s="111">
        <v>5.7</v>
      </c>
      <c r="P12" s="74"/>
      <c r="Q12" s="111">
        <v>1</v>
      </c>
      <c r="R12" s="74"/>
      <c r="S12" s="199">
        <v>0.34499999999999997</v>
      </c>
      <c r="T12" s="74">
        <v>3.9E-2</v>
      </c>
      <c r="U12" s="74"/>
      <c r="V12" s="74" t="s">
        <v>233</v>
      </c>
      <c r="W12" s="74" t="s">
        <v>234</v>
      </c>
      <c r="X12" s="74" t="s">
        <v>366</v>
      </c>
      <c r="Y12" s="74" t="s">
        <v>367</v>
      </c>
      <c r="Z12" s="74" t="s">
        <v>368</v>
      </c>
      <c r="AA12" s="74" t="s">
        <v>369</v>
      </c>
      <c r="AB12" s="74" t="s">
        <v>370</v>
      </c>
      <c r="AC12" s="74" t="s">
        <v>371</v>
      </c>
      <c r="AD12" s="74" t="s">
        <v>372</v>
      </c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</row>
    <row r="13" spans="1:47" x14ac:dyDescent="0.2">
      <c r="A13" s="74"/>
      <c r="B13" s="294">
        <v>10</v>
      </c>
      <c r="C13" s="293" t="s">
        <v>107</v>
      </c>
      <c r="D13" s="294">
        <v>6</v>
      </c>
      <c r="E13" s="293"/>
      <c r="F13" s="294">
        <v>33</v>
      </c>
      <c r="G13" s="294"/>
      <c r="H13" s="294">
        <v>23</v>
      </c>
      <c r="I13" s="295"/>
      <c r="J13" s="294">
        <v>13270</v>
      </c>
      <c r="K13" s="196">
        <v>51.9</v>
      </c>
      <c r="L13" s="201">
        <v>20.9</v>
      </c>
      <c r="M13" s="111">
        <v>6.21</v>
      </c>
      <c r="N13" s="202"/>
      <c r="O13" s="111">
        <v>2.5499999999999998</v>
      </c>
      <c r="P13" s="74"/>
      <c r="Q13" s="199">
        <v>0.23</v>
      </c>
      <c r="R13" s="74"/>
      <c r="S13" s="199">
        <v>0.52700000000000002</v>
      </c>
      <c r="T13" s="74">
        <v>6.4000000000000001E-2</v>
      </c>
      <c r="U13" s="74"/>
      <c r="V13" s="74" t="s">
        <v>235</v>
      </c>
      <c r="W13" s="74" t="s">
        <v>236</v>
      </c>
      <c r="X13" s="74" t="s">
        <v>373</v>
      </c>
      <c r="Y13" s="74" t="s">
        <v>374</v>
      </c>
      <c r="Z13" s="74" t="s">
        <v>375</v>
      </c>
      <c r="AA13" s="74" t="s">
        <v>376</v>
      </c>
      <c r="AB13" s="74" t="s">
        <v>377</v>
      </c>
      <c r="AC13" s="74" t="s">
        <v>378</v>
      </c>
      <c r="AD13" s="74" t="s">
        <v>379</v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</row>
    <row r="14" spans="1:47" x14ac:dyDescent="0.2">
      <c r="A14" s="74"/>
      <c r="B14" s="294">
        <v>11</v>
      </c>
      <c r="C14" s="293" t="s">
        <v>147</v>
      </c>
      <c r="D14" s="294">
        <v>3</v>
      </c>
      <c r="E14" s="293"/>
      <c r="F14" s="294">
        <v>22</v>
      </c>
      <c r="G14" s="294"/>
      <c r="H14" s="294">
        <v>10</v>
      </c>
      <c r="I14" s="295"/>
      <c r="J14" s="294">
        <v>18750</v>
      </c>
      <c r="K14" s="196">
        <v>31.5</v>
      </c>
      <c r="L14" s="111">
        <v>21.3</v>
      </c>
      <c r="M14" s="111">
        <v>5.56</v>
      </c>
      <c r="N14" s="202"/>
      <c r="O14" s="111">
        <v>0</v>
      </c>
      <c r="P14" s="74"/>
      <c r="Q14" s="111">
        <v>0.13</v>
      </c>
      <c r="R14" s="74"/>
      <c r="S14" s="199">
        <v>0.82799999999999996</v>
      </c>
      <c r="T14" s="74">
        <v>0.114</v>
      </c>
      <c r="U14" s="74"/>
      <c r="V14" s="74"/>
      <c r="W14" s="74"/>
      <c r="X14" s="74" t="s">
        <v>380</v>
      </c>
      <c r="Y14" s="74" t="s">
        <v>381</v>
      </c>
      <c r="Z14" s="74" t="s">
        <v>382</v>
      </c>
      <c r="AA14" s="74" t="s">
        <v>383</v>
      </c>
      <c r="AB14" s="74" t="s">
        <v>384</v>
      </c>
      <c r="AC14" s="74" t="s">
        <v>385</v>
      </c>
      <c r="AD14" s="74" t="s">
        <v>386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 Data</vt:lpstr>
      <vt:lpstr>2015 Statistics</vt:lpstr>
      <vt:lpstr>2013 - 2015 All data</vt:lpstr>
      <vt:lpstr>2013 - 2015 Statistics</vt:lpstr>
      <vt:lpstr>Raw data Cations</vt:lpstr>
      <vt:lpstr>Raw data Anions</vt:lpstr>
      <vt:lpstr>Raw data 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David Vogt</dc:creator>
  <cp:lastModifiedBy>Rolf David Vogt</cp:lastModifiedBy>
  <cp:lastPrinted>2010-09-02T07:03:33Z</cp:lastPrinted>
  <dcterms:created xsi:type="dcterms:W3CDTF">2010-01-09T17:19:18Z</dcterms:created>
  <dcterms:modified xsi:type="dcterms:W3CDTF">2015-10-28T12:04:21Z</dcterms:modified>
</cp:coreProperties>
</file>